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BUDŽETS 2021\"/>
    </mc:Choice>
  </mc:AlternateContent>
  <xr:revisionPtr revIDLastSave="0" documentId="13_ncr:1_{B8F04D36-DB45-444A-8BE4-74938573606A}" xr6:coauthVersionLast="46" xr6:coauthVersionMax="46" xr10:uidLastSave="{00000000-0000-0000-0000-000000000000}"/>
  <bookViews>
    <workbookView xWindow="-120" yWindow="-120" windowWidth="29040" windowHeight="15840" tabRatio="871" activeTab="2" xr2:uid="{00000000-000D-0000-FFFF-FFFF00000000}"/>
  </bookViews>
  <sheets>
    <sheet name="Izdevumi (Pielikums Nr.1)" sheetId="1" r:id="rId1"/>
    <sheet name="Ieņēmumi (Pielikums Nr.2)" sheetId="10" r:id="rId2"/>
    <sheet name="Kopsavilkums (Pielikums Nr.3)" sheetId="8" r:id="rId3"/>
    <sheet name="Izdevumi bez MD un ceļu f." sheetId="16" state="hidden" r:id="rId4"/>
    <sheet name="analīzei" sheetId="9" state="hidden" r:id="rId5"/>
    <sheet name="algu apr." sheetId="11" state="hidden" r:id="rId6"/>
    <sheet name="Ieņēmumi 2020." sheetId="2" state="hidden" r:id="rId7"/>
  </sheets>
  <definedNames>
    <definedName name="_xlnm._FilterDatabase" localSheetId="5" hidden="1">'algu apr.'!$A$6:$G$556</definedName>
    <definedName name="_xlnm._FilterDatabase" localSheetId="0" hidden="1">'Izdevumi (Pielikums Nr.1)'!$A$6:$AR$562</definedName>
    <definedName name="_xlnm._FilterDatabase" localSheetId="3" hidden="1">'Izdevumi bez MD un ceļu f.'!$A$6:$AR$472</definedName>
    <definedName name="_xlnm.Print_Area" localSheetId="1">'Ieņēmumi (Pielikums Nr.2)'!$A$1:$S$38</definedName>
    <definedName name="_xlnm.Print_Area" localSheetId="6">'Ieņēmumi 2020.'!$A$1:$S$34</definedName>
    <definedName name="_xlnm.Print_Area" localSheetId="2">'Kopsavilkums (Pielikums Nr.3)'!$A$1:$G$71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8" i="11" l="1"/>
  <c r="N58" i="11"/>
  <c r="N59" i="11"/>
  <c r="N60" i="11"/>
  <c r="N61" i="11"/>
  <c r="N62" i="11"/>
  <c r="N63" i="11"/>
  <c r="N64" i="11"/>
  <c r="N65" i="11"/>
  <c r="N66" i="11"/>
  <c r="N67" i="11"/>
  <c r="N68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N298" i="11"/>
  <c r="N299" i="11"/>
  <c r="N300" i="11"/>
  <c r="N301" i="11"/>
  <c r="N302" i="11"/>
  <c r="N303" i="11"/>
  <c r="N305" i="11"/>
  <c r="N306" i="11"/>
  <c r="N307" i="11"/>
  <c r="N308" i="11"/>
  <c r="N309" i="11"/>
  <c r="N310" i="11"/>
  <c r="N311" i="11"/>
  <c r="N312" i="11"/>
  <c r="N313" i="11"/>
  <c r="N314" i="11"/>
  <c r="N315" i="11"/>
  <c r="N316" i="11"/>
  <c r="N317" i="11"/>
  <c r="N318" i="11"/>
  <c r="N319" i="11"/>
  <c r="N320" i="11"/>
  <c r="N321" i="11"/>
  <c r="N322" i="11"/>
  <c r="N323" i="11"/>
  <c r="N324" i="11"/>
  <c r="N325" i="11"/>
  <c r="N326" i="11"/>
  <c r="N327" i="11"/>
  <c r="N328" i="11"/>
  <c r="N329" i="11"/>
  <c r="N330" i="11"/>
  <c r="N331" i="11"/>
  <c r="N332" i="11"/>
  <c r="N333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48" i="11"/>
  <c r="N349" i="11"/>
  <c r="N350" i="11"/>
  <c r="N351" i="11"/>
  <c r="N352" i="11"/>
  <c r="N353" i="11"/>
  <c r="N354" i="11"/>
  <c r="N355" i="11"/>
  <c r="N356" i="11"/>
  <c r="N357" i="11"/>
  <c r="N358" i="11"/>
  <c r="N359" i="11"/>
  <c r="N360" i="11"/>
  <c r="N361" i="11"/>
  <c r="N362" i="11"/>
  <c r="N363" i="11"/>
  <c r="N365" i="11"/>
  <c r="N366" i="11"/>
  <c r="N367" i="11"/>
  <c r="N368" i="11"/>
  <c r="N369" i="11"/>
  <c r="N370" i="11"/>
  <c r="N371" i="11"/>
  <c r="N372" i="11"/>
  <c r="N373" i="11"/>
  <c r="N374" i="11"/>
  <c r="N375" i="11"/>
  <c r="N376" i="11"/>
  <c r="N377" i="11"/>
  <c r="N378" i="11"/>
  <c r="N379" i="11"/>
  <c r="N380" i="11"/>
  <c r="N381" i="11"/>
  <c r="N382" i="11"/>
  <c r="N383" i="11"/>
  <c r="N384" i="11"/>
  <c r="N385" i="11"/>
  <c r="N386" i="11"/>
  <c r="N388" i="11"/>
  <c r="N389" i="11"/>
  <c r="N390" i="11"/>
  <c r="N391" i="11"/>
  <c r="N392" i="11"/>
  <c r="N393" i="11"/>
  <c r="N394" i="11"/>
  <c r="N395" i="11"/>
  <c r="N396" i="11"/>
  <c r="N397" i="11"/>
  <c r="N398" i="11"/>
  <c r="N399" i="11"/>
  <c r="N400" i="11"/>
  <c r="N401" i="11"/>
  <c r="N402" i="11"/>
  <c r="N403" i="11"/>
  <c r="N404" i="11"/>
  <c r="N405" i="11"/>
  <c r="N406" i="11"/>
  <c r="N407" i="11"/>
  <c r="N408" i="11"/>
  <c r="N409" i="11"/>
  <c r="N410" i="11"/>
  <c r="N411" i="11"/>
  <c r="N412" i="11"/>
  <c r="N413" i="11"/>
  <c r="N414" i="11"/>
  <c r="N417" i="11"/>
  <c r="N418" i="11"/>
  <c r="N419" i="11"/>
  <c r="N420" i="11"/>
  <c r="N421" i="11"/>
  <c r="N422" i="11"/>
  <c r="N423" i="11"/>
  <c r="N424" i="11"/>
  <c r="N425" i="11"/>
  <c r="N426" i="11"/>
  <c r="N427" i="11"/>
  <c r="N428" i="11"/>
  <c r="N429" i="11"/>
  <c r="N430" i="11"/>
  <c r="N431" i="11"/>
  <c r="N432" i="11"/>
  <c r="N433" i="11"/>
  <c r="N434" i="11"/>
  <c r="N435" i="11"/>
  <c r="N436" i="11"/>
  <c r="N437" i="11"/>
  <c r="N438" i="11"/>
  <c r="N439" i="11"/>
  <c r="N440" i="11"/>
  <c r="N441" i="11"/>
  <c r="N442" i="11"/>
  <c r="N443" i="11"/>
  <c r="N444" i="11"/>
  <c r="N445" i="11"/>
  <c r="N446" i="11"/>
  <c r="N447" i="11"/>
  <c r="N448" i="11"/>
  <c r="N449" i="11"/>
  <c r="N450" i="11"/>
  <c r="N451" i="11"/>
  <c r="N452" i="11"/>
  <c r="N453" i="11"/>
  <c r="N454" i="11"/>
  <c r="N455" i="11"/>
  <c r="N456" i="11"/>
  <c r="N457" i="11"/>
  <c r="N458" i="11"/>
  <c r="N459" i="11"/>
  <c r="N460" i="11"/>
  <c r="N461" i="11"/>
  <c r="N462" i="11"/>
  <c r="N463" i="11"/>
  <c r="N464" i="11"/>
  <c r="N465" i="11"/>
  <c r="N466" i="11"/>
  <c r="N467" i="11"/>
  <c r="N468" i="11"/>
  <c r="N469" i="11"/>
  <c r="N470" i="11"/>
  <c r="N471" i="11"/>
  <c r="N472" i="11"/>
  <c r="N473" i="11"/>
  <c r="N474" i="11"/>
  <c r="N475" i="11"/>
  <c r="N476" i="11"/>
  <c r="N477" i="11"/>
  <c r="N478" i="11"/>
  <c r="N479" i="11"/>
  <c r="N481" i="11"/>
  <c r="N482" i="11"/>
  <c r="N483" i="11"/>
  <c r="N484" i="11"/>
  <c r="N485" i="11"/>
  <c r="N486" i="11"/>
  <c r="N487" i="11"/>
  <c r="N488" i="11"/>
  <c r="N489" i="11"/>
  <c r="N490" i="11"/>
  <c r="N491" i="11"/>
  <c r="N492" i="11"/>
  <c r="N493" i="11"/>
  <c r="N494" i="11"/>
  <c r="N495" i="11"/>
  <c r="N496" i="11"/>
  <c r="N497" i="11"/>
  <c r="N498" i="11"/>
  <c r="N499" i="11"/>
  <c r="N500" i="11"/>
  <c r="N501" i="11"/>
  <c r="N502" i="11"/>
  <c r="N503" i="11"/>
  <c r="N504" i="11"/>
  <c r="N505" i="11"/>
  <c r="N506" i="11"/>
  <c r="N507" i="11"/>
  <c r="N508" i="11"/>
  <c r="N509" i="11"/>
  <c r="N510" i="11"/>
  <c r="N511" i="11"/>
  <c r="N512" i="11"/>
  <c r="N513" i="11"/>
  <c r="N514" i="11"/>
  <c r="N515" i="11"/>
  <c r="N516" i="11"/>
  <c r="N517" i="11"/>
  <c r="N518" i="11"/>
  <c r="N519" i="11"/>
  <c r="N520" i="11"/>
  <c r="N521" i="11"/>
  <c r="N522" i="11"/>
  <c r="N523" i="11"/>
  <c r="N524" i="11"/>
  <c r="N525" i="11"/>
  <c r="N526" i="11"/>
  <c r="N527" i="11"/>
  <c r="N528" i="11"/>
  <c r="N529" i="11"/>
  <c r="N530" i="11"/>
  <c r="N531" i="11"/>
  <c r="N532" i="11"/>
  <c r="N533" i="11"/>
  <c r="N534" i="11"/>
  <c r="N535" i="11"/>
  <c r="N536" i="11"/>
  <c r="N537" i="11"/>
  <c r="N538" i="11"/>
  <c r="N539" i="11"/>
  <c r="N540" i="11"/>
  <c r="N541" i="11"/>
  <c r="N542" i="11"/>
  <c r="N543" i="11"/>
  <c r="N544" i="11"/>
  <c r="N545" i="11"/>
  <c r="N546" i="11"/>
  <c r="N547" i="11"/>
  <c r="N548" i="11"/>
  <c r="N549" i="11"/>
  <c r="N550" i="11"/>
  <c r="N551" i="11"/>
  <c r="N552" i="11"/>
  <c r="N553" i="11"/>
  <c r="N554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8" i="11"/>
  <c r="I159" i="11"/>
  <c r="I185" i="11"/>
  <c r="I253" i="11"/>
  <c r="I326" i="11"/>
  <c r="I358" i="11"/>
  <c r="I359" i="11"/>
  <c r="I410" i="11"/>
  <c r="I420" i="11"/>
  <c r="I424" i="11"/>
  <c r="I428" i="11"/>
  <c r="I432" i="11"/>
  <c r="I436" i="11"/>
  <c r="I437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E163" i="9"/>
  <c r="F163" i="9"/>
  <c r="E164" i="9"/>
  <c r="F164" i="9"/>
  <c r="E165" i="9"/>
  <c r="F165" i="9"/>
  <c r="E166" i="9"/>
  <c r="F166" i="9"/>
  <c r="G558" i="11"/>
  <c r="K253" i="11" l="1"/>
  <c r="K326" i="11"/>
  <c r="K359" i="11"/>
  <c r="K358" i="11"/>
  <c r="K410" i="11"/>
  <c r="K420" i="11"/>
  <c r="K424" i="11"/>
  <c r="K428" i="11"/>
  <c r="K432" i="11"/>
  <c r="K436" i="11"/>
  <c r="K438" i="11"/>
  <c r="K439" i="11"/>
  <c r="K440" i="11"/>
  <c r="K441" i="11"/>
  <c r="K442" i="11"/>
  <c r="K443" i="11"/>
  <c r="K444" i="11"/>
  <c r="K445" i="11"/>
  <c r="K446" i="11"/>
  <c r="K447" i="11"/>
  <c r="K448" i="11"/>
  <c r="K449" i="11"/>
  <c r="K437" i="11"/>
  <c r="F29" i="8"/>
  <c r="F31" i="8"/>
  <c r="E482" i="1"/>
  <c r="E444" i="1"/>
  <c r="E448" i="1"/>
  <c r="AE514" i="1" l="1"/>
  <c r="AE492" i="1" l="1"/>
  <c r="E121" i="1" l="1"/>
  <c r="E483" i="1" l="1"/>
  <c r="E395" i="16" l="1"/>
  <c r="E394" i="16"/>
  <c r="C35" i="10" l="1"/>
  <c r="S35" i="10"/>
  <c r="G261" i="1" l="1"/>
  <c r="H9" i="8"/>
  <c r="AM535" i="1"/>
  <c r="AM445" i="16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G29" i="9"/>
  <c r="G36" i="9"/>
  <c r="G37" i="9"/>
  <c r="G40" i="9"/>
  <c r="AT9" i="16"/>
  <c r="AT10" i="16"/>
  <c r="AT11" i="16"/>
  <c r="AT12" i="16"/>
  <c r="AT13" i="16"/>
  <c r="AT14" i="16"/>
  <c r="AT15" i="16"/>
  <c r="AT16" i="16"/>
  <c r="AT17" i="16"/>
  <c r="AT18" i="16"/>
  <c r="AT20" i="16"/>
  <c r="AT22" i="16"/>
  <c r="AT23" i="16"/>
  <c r="AT24" i="16"/>
  <c r="AT25" i="16"/>
  <c r="AT26" i="16"/>
  <c r="AT27" i="16"/>
  <c r="AT28" i="16"/>
  <c r="AT29" i="16"/>
  <c r="AT30" i="16"/>
  <c r="AT32" i="16"/>
  <c r="AT33" i="16"/>
  <c r="AT34" i="16"/>
  <c r="AT35" i="16"/>
  <c r="AT36" i="16"/>
  <c r="AT37" i="16"/>
  <c r="AT38" i="16"/>
  <c r="AT39" i="16"/>
  <c r="AT40" i="16"/>
  <c r="AT41" i="16"/>
  <c r="AT42" i="16"/>
  <c r="AT43" i="16"/>
  <c r="AT44" i="16"/>
  <c r="AT45" i="16"/>
  <c r="AT46" i="16"/>
  <c r="AT47" i="16"/>
  <c r="AT48" i="16"/>
  <c r="AT49" i="16"/>
  <c r="AT50" i="16"/>
  <c r="AT51" i="16"/>
  <c r="AT52" i="16"/>
  <c r="AT53" i="16"/>
  <c r="AT54" i="16"/>
  <c r="AT55" i="16"/>
  <c r="AT56" i="16"/>
  <c r="AT57" i="16"/>
  <c r="AT59" i="16"/>
  <c r="AT60" i="16"/>
  <c r="AT61" i="16"/>
  <c r="AT62" i="16"/>
  <c r="AT63" i="16"/>
  <c r="AT64" i="16"/>
  <c r="AT66" i="16"/>
  <c r="AT67" i="16"/>
  <c r="AT68" i="16"/>
  <c r="AT69" i="16"/>
  <c r="AT70" i="16"/>
  <c r="AT71" i="16"/>
  <c r="AT72" i="16"/>
  <c r="AT73" i="16"/>
  <c r="AT74" i="16"/>
  <c r="AT75" i="16"/>
  <c r="AT76" i="16"/>
  <c r="AT77" i="16"/>
  <c r="AT79" i="16"/>
  <c r="AT80" i="16"/>
  <c r="AT81" i="16"/>
  <c r="AT82" i="16"/>
  <c r="AT83" i="16"/>
  <c r="AT84" i="16"/>
  <c r="AT85" i="16"/>
  <c r="AT86" i="16"/>
  <c r="AT87" i="16"/>
  <c r="AT89" i="16"/>
  <c r="AT90" i="16"/>
  <c r="AT91" i="16"/>
  <c r="AT92" i="16"/>
  <c r="AT93" i="16"/>
  <c r="AT94" i="16"/>
  <c r="AT95" i="16"/>
  <c r="AT96" i="16"/>
  <c r="AT97" i="16"/>
  <c r="AT98" i="16"/>
  <c r="AT99" i="16"/>
  <c r="AT100" i="16"/>
  <c r="AT101" i="16"/>
  <c r="AT102" i="16"/>
  <c r="AT104" i="16"/>
  <c r="AT105" i="16"/>
  <c r="AT106" i="16"/>
  <c r="AT107" i="16"/>
  <c r="AT108" i="16"/>
  <c r="AT109" i="16"/>
  <c r="AT110" i="16"/>
  <c r="AT111" i="16"/>
  <c r="AT112" i="16"/>
  <c r="AT113" i="16"/>
  <c r="AT115" i="16"/>
  <c r="AT116" i="16"/>
  <c r="AT117" i="16"/>
  <c r="AT119" i="16"/>
  <c r="AT120" i="16"/>
  <c r="AT121" i="16"/>
  <c r="AT122" i="16"/>
  <c r="AT123" i="16"/>
  <c r="AT124" i="16"/>
  <c r="AT125" i="16"/>
  <c r="AT126" i="16"/>
  <c r="AT127" i="16"/>
  <c r="AT128" i="16"/>
  <c r="AT129" i="16"/>
  <c r="AT130" i="16"/>
  <c r="AT131" i="16"/>
  <c r="AT132" i="16"/>
  <c r="AT133" i="16"/>
  <c r="AT134" i="16"/>
  <c r="AT136" i="16"/>
  <c r="AT137" i="16"/>
  <c r="AT138" i="16"/>
  <c r="AT139" i="16"/>
  <c r="AT140" i="16"/>
  <c r="AT141" i="16"/>
  <c r="AT142" i="16"/>
  <c r="AT143" i="16"/>
  <c r="AT145" i="16"/>
  <c r="AT146" i="16"/>
  <c r="AT147" i="16"/>
  <c r="AT149" i="16"/>
  <c r="AT150" i="16"/>
  <c r="AT151" i="16"/>
  <c r="AT152" i="16"/>
  <c r="AT153" i="16"/>
  <c r="AT154" i="16"/>
  <c r="AT155" i="16"/>
  <c r="AT157" i="16"/>
  <c r="AT158" i="16"/>
  <c r="AT159" i="16"/>
  <c r="AT160" i="16"/>
  <c r="AT161" i="16"/>
  <c r="AT162" i="16"/>
  <c r="AT163" i="16"/>
  <c r="AT164" i="16"/>
  <c r="AT166" i="16"/>
  <c r="AT167" i="16"/>
  <c r="AT168" i="16"/>
  <c r="AT169" i="16"/>
  <c r="AT170" i="16"/>
  <c r="AT171" i="16"/>
  <c r="AT172" i="16"/>
  <c r="AT173" i="16"/>
  <c r="AT174" i="16"/>
  <c r="AT175" i="16"/>
  <c r="AT176" i="16"/>
  <c r="AT177" i="16"/>
  <c r="AT178" i="16"/>
  <c r="AT179" i="16"/>
  <c r="AT180" i="16"/>
  <c r="AT181" i="16"/>
  <c r="AT182" i="16"/>
  <c r="AT183" i="16"/>
  <c r="AT184" i="16"/>
  <c r="AT186" i="16"/>
  <c r="AT187" i="16"/>
  <c r="AT188" i="16"/>
  <c r="AT189" i="16"/>
  <c r="AT190" i="16"/>
  <c r="AT191" i="16"/>
  <c r="AT192" i="16"/>
  <c r="AT193" i="16"/>
  <c r="AT195" i="16"/>
  <c r="AT196" i="16"/>
  <c r="AT197" i="16"/>
  <c r="AT198" i="16"/>
  <c r="AT200" i="16"/>
  <c r="AT201" i="16"/>
  <c r="AT202" i="16"/>
  <c r="AT203" i="16"/>
  <c r="AT204" i="16"/>
  <c r="AT205" i="16"/>
  <c r="AT206" i="16"/>
  <c r="AT207" i="16"/>
  <c r="AT208" i="16"/>
  <c r="AT209" i="16"/>
  <c r="AT210" i="16"/>
  <c r="AT212" i="16"/>
  <c r="AT213" i="16"/>
  <c r="AT214" i="16"/>
  <c r="AT215" i="16"/>
  <c r="AT216" i="16"/>
  <c r="AT217" i="16"/>
  <c r="AT218" i="16"/>
  <c r="AT219" i="16"/>
  <c r="AT220" i="16"/>
  <c r="AT221" i="16"/>
  <c r="AT222" i="16"/>
  <c r="AT223" i="16"/>
  <c r="AT224" i="16"/>
  <c r="AT225" i="16"/>
  <c r="AT226" i="16"/>
  <c r="AT227" i="16"/>
  <c r="AT228" i="16"/>
  <c r="AT229" i="16"/>
  <c r="AT230" i="16"/>
  <c r="AT231" i="16"/>
  <c r="AT232" i="16"/>
  <c r="AT233" i="16"/>
  <c r="AT234" i="16"/>
  <c r="AT236" i="16"/>
  <c r="AT237" i="16"/>
  <c r="AT238" i="16"/>
  <c r="AT239" i="16"/>
  <c r="AT240" i="16"/>
  <c r="AT241" i="16"/>
  <c r="AT242" i="16"/>
  <c r="AT243" i="16"/>
  <c r="AT244" i="16"/>
  <c r="AT245" i="16"/>
  <c r="AT246" i="16"/>
  <c r="AT247" i="16"/>
  <c r="AT248" i="16"/>
  <c r="AT249" i="16"/>
  <c r="AT250" i="16"/>
  <c r="AT251" i="16"/>
  <c r="AT253" i="16"/>
  <c r="AT254" i="16"/>
  <c r="AT255" i="16"/>
  <c r="AT256" i="16"/>
  <c r="AT257" i="16"/>
  <c r="AT258" i="16"/>
  <c r="AT259" i="16"/>
  <c r="AT260" i="16"/>
  <c r="AT261" i="16"/>
  <c r="AT262" i="16"/>
  <c r="AT263" i="16"/>
  <c r="AT264" i="16"/>
  <c r="AT265" i="16"/>
  <c r="AT267" i="16"/>
  <c r="AT268" i="16"/>
  <c r="AT269" i="16"/>
  <c r="AT270" i="16"/>
  <c r="AT271" i="16"/>
  <c r="AT272" i="16"/>
  <c r="AT273" i="16"/>
  <c r="AT274" i="16"/>
  <c r="AT275" i="16"/>
  <c r="AT276" i="16"/>
  <c r="AT278" i="16"/>
  <c r="AT279" i="16"/>
  <c r="AT280" i="16"/>
  <c r="AT281" i="16"/>
  <c r="AT282" i="16"/>
  <c r="AT283" i="16"/>
  <c r="AT284" i="16"/>
  <c r="AT285" i="16"/>
  <c r="AT286" i="16"/>
  <c r="AT287" i="16"/>
  <c r="AT288" i="16"/>
  <c r="AT290" i="16"/>
  <c r="AT291" i="16"/>
  <c r="AT292" i="16"/>
  <c r="AT293" i="16"/>
  <c r="AT294" i="16"/>
  <c r="AT295" i="16"/>
  <c r="AT296" i="16"/>
  <c r="AT297" i="16"/>
  <c r="AT298" i="16"/>
  <c r="AT299" i="16"/>
  <c r="AT301" i="16"/>
  <c r="AT302" i="16"/>
  <c r="AT303" i="16"/>
  <c r="AT304" i="16"/>
  <c r="AT305" i="16"/>
  <c r="AT306" i="16"/>
  <c r="AT307" i="16"/>
  <c r="AT308" i="16"/>
  <c r="AT309" i="16"/>
  <c r="AT310" i="16"/>
  <c r="AT311" i="16"/>
  <c r="AT312" i="16"/>
  <c r="AT313" i="16"/>
  <c r="AT314" i="16"/>
  <c r="AT315" i="16"/>
  <c r="AT316" i="16"/>
  <c r="AT317" i="16"/>
  <c r="AT318" i="16"/>
  <c r="AT319" i="16"/>
  <c r="AT320" i="16"/>
  <c r="AT322" i="16"/>
  <c r="AT323" i="16"/>
  <c r="AT324" i="16"/>
  <c r="AT325" i="16"/>
  <c r="AT326" i="16"/>
  <c r="AT327" i="16"/>
  <c r="AT328" i="16"/>
  <c r="AT329" i="16"/>
  <c r="AT330" i="16"/>
  <c r="AT331" i="16"/>
  <c r="AT332" i="16"/>
  <c r="AT334" i="16"/>
  <c r="AT335" i="16"/>
  <c r="AT336" i="16"/>
  <c r="AT337" i="16"/>
  <c r="AT338" i="16"/>
  <c r="AT339" i="16"/>
  <c r="AT340" i="16"/>
  <c r="AT341" i="16"/>
  <c r="AT342" i="16"/>
  <c r="AT345" i="16"/>
  <c r="AT347" i="16"/>
  <c r="AT348" i="16"/>
  <c r="AT350" i="16"/>
  <c r="AT352" i="16"/>
  <c r="AT353" i="16"/>
  <c r="AT354" i="16"/>
  <c r="AT355" i="16"/>
  <c r="AT356" i="16"/>
  <c r="AT357" i="16"/>
  <c r="AT358" i="16"/>
  <c r="AT361" i="16"/>
  <c r="AT362" i="16"/>
  <c r="AT363" i="16"/>
  <c r="AT364" i="16"/>
  <c r="AT365" i="16"/>
  <c r="AT366" i="16"/>
  <c r="AT367" i="16"/>
  <c r="AT368" i="16"/>
  <c r="AT369" i="16"/>
  <c r="AT370" i="16"/>
  <c r="AT371" i="16"/>
  <c r="AT372" i="16"/>
  <c r="AT373" i="16"/>
  <c r="AT374" i="16"/>
  <c r="AT376" i="16"/>
  <c r="AT377" i="16"/>
  <c r="AT378" i="16"/>
  <c r="AT379" i="16"/>
  <c r="AT380" i="16"/>
  <c r="AT381" i="16"/>
  <c r="AT382" i="16"/>
  <c r="AT383" i="16"/>
  <c r="AT384" i="16"/>
  <c r="AT385" i="16"/>
  <c r="AT386" i="16"/>
  <c r="AT387" i="16"/>
  <c r="AT389" i="16"/>
  <c r="AT390" i="16"/>
  <c r="AT391" i="16"/>
  <c r="AT392" i="16"/>
  <c r="AT393" i="16"/>
  <c r="AT394" i="16"/>
  <c r="AT395" i="16"/>
  <c r="AT397" i="16"/>
  <c r="AT398" i="16"/>
  <c r="AT399" i="16"/>
  <c r="AT400" i="16"/>
  <c r="AT401" i="16"/>
  <c r="AT402" i="16"/>
  <c r="AT403" i="16"/>
  <c r="AT404" i="16"/>
  <c r="AT405" i="16"/>
  <c r="AT406" i="16"/>
  <c r="AT407" i="16"/>
  <c r="AT408" i="16"/>
  <c r="AT409" i="16"/>
  <c r="AT410" i="16"/>
  <c r="AT412" i="16"/>
  <c r="AT413" i="16"/>
  <c r="AT414" i="16"/>
  <c r="AT415" i="16"/>
  <c r="AT416" i="16"/>
  <c r="AT417" i="16"/>
  <c r="AT418" i="16"/>
  <c r="AT419" i="16"/>
  <c r="AT420" i="16"/>
  <c r="AT421" i="16"/>
  <c r="AT423" i="16"/>
  <c r="AT424" i="16"/>
  <c r="AT425" i="16"/>
  <c r="AT426" i="16"/>
  <c r="AT427" i="16"/>
  <c r="AT428" i="16"/>
  <c r="AT429" i="16"/>
  <c r="AT430" i="16"/>
  <c r="AT431" i="16"/>
  <c r="AT432" i="16"/>
  <c r="AT433" i="16"/>
  <c r="AT434" i="16"/>
  <c r="AT435" i="16"/>
  <c r="AT436" i="16"/>
  <c r="AT437" i="16"/>
  <c r="AT438" i="16"/>
  <c r="AT439" i="16"/>
  <c r="AT440" i="16"/>
  <c r="AT441" i="16"/>
  <c r="AT442" i="16"/>
  <c r="AT443" i="16"/>
  <c r="AT444" i="16"/>
  <c r="AT445" i="16"/>
  <c r="AT446" i="16"/>
  <c r="AT447" i="16"/>
  <c r="AT448" i="16"/>
  <c r="AT449" i="16"/>
  <c r="AT450" i="16"/>
  <c r="AT451" i="16"/>
  <c r="AT452" i="16"/>
  <c r="AT453" i="16"/>
  <c r="AT454" i="16"/>
  <c r="AT455" i="16"/>
  <c r="AT456" i="16"/>
  <c r="AT457" i="16"/>
  <c r="AT458" i="16"/>
  <c r="AT459" i="16"/>
  <c r="AT460" i="16"/>
  <c r="AT461" i="16"/>
  <c r="AT462" i="16"/>
  <c r="AT463" i="16"/>
  <c r="AT464" i="16"/>
  <c r="AT465" i="16"/>
  <c r="AT466" i="16"/>
  <c r="AT467" i="16"/>
  <c r="AT468" i="16"/>
  <c r="AT470" i="16"/>
  <c r="AT8" i="16"/>
  <c r="AO471" i="16" l="1"/>
  <c r="AN471" i="16"/>
  <c r="AK471" i="16"/>
  <c r="AJ471" i="16"/>
  <c r="AI471" i="16"/>
  <c r="AH471" i="16"/>
  <c r="AF471" i="16"/>
  <c r="AD471" i="16"/>
  <c r="AC471" i="16"/>
  <c r="AB471" i="16"/>
  <c r="Y471" i="16"/>
  <c r="X471" i="16"/>
  <c r="W471" i="16"/>
  <c r="V471" i="16"/>
  <c r="U471" i="16"/>
  <c r="T471" i="16"/>
  <c r="S471" i="16"/>
  <c r="R471" i="16"/>
  <c r="Q471" i="16"/>
  <c r="P471" i="16"/>
  <c r="O471" i="16"/>
  <c r="N471" i="16"/>
  <c r="L471" i="16"/>
  <c r="K471" i="16"/>
  <c r="J471" i="16"/>
  <c r="H471" i="16"/>
  <c r="G471" i="16"/>
  <c r="F471" i="16"/>
  <c r="AA470" i="16"/>
  <c r="AQ470" i="16" s="1"/>
  <c r="Z470" i="16"/>
  <c r="AP470" i="16" s="1"/>
  <c r="AA469" i="16"/>
  <c r="AQ469" i="16" s="1"/>
  <c r="D469" i="16"/>
  <c r="AA468" i="16"/>
  <c r="AQ468" i="16" s="1"/>
  <c r="Z468" i="16"/>
  <c r="AP468" i="16" s="1"/>
  <c r="AG467" i="16"/>
  <c r="AE467" i="16"/>
  <c r="Z467" i="16"/>
  <c r="AP467" i="16" s="1"/>
  <c r="M467" i="16"/>
  <c r="M471" i="16" s="1"/>
  <c r="I467" i="16"/>
  <c r="AA466" i="16"/>
  <c r="AQ466" i="16" s="1"/>
  <c r="Z466" i="16"/>
  <c r="AP466" i="16" s="1"/>
  <c r="AA465" i="16"/>
  <c r="AQ465" i="16" s="1"/>
  <c r="Z465" i="16"/>
  <c r="AP465" i="16" s="1"/>
  <c r="AA464" i="16"/>
  <c r="AQ464" i="16" s="1"/>
  <c r="Z464" i="16"/>
  <c r="AP464" i="16" s="1"/>
  <c r="AA463" i="16"/>
  <c r="AQ463" i="16" s="1"/>
  <c r="Z463" i="16"/>
  <c r="AP463" i="16" s="1"/>
  <c r="AA462" i="16"/>
  <c r="AQ462" i="16" s="1"/>
  <c r="Z462" i="16"/>
  <c r="AP462" i="16" s="1"/>
  <c r="AA461" i="16"/>
  <c r="AQ461" i="16" s="1"/>
  <c r="Z461" i="16"/>
  <c r="AP461" i="16" s="1"/>
  <c r="AE460" i="16"/>
  <c r="AA460" i="16"/>
  <c r="Z460" i="16"/>
  <c r="AP460" i="16" s="1"/>
  <c r="AM459" i="16"/>
  <c r="AA459" i="16"/>
  <c r="Z459" i="16"/>
  <c r="AP459" i="16" s="1"/>
  <c r="AA458" i="16"/>
  <c r="AQ458" i="16" s="1"/>
  <c r="Z458" i="16"/>
  <c r="AP458" i="16" s="1"/>
  <c r="AA457" i="16"/>
  <c r="AQ457" i="16" s="1"/>
  <c r="Z457" i="16"/>
  <c r="AP457" i="16" s="1"/>
  <c r="AA456" i="16"/>
  <c r="AQ456" i="16" s="1"/>
  <c r="Z456" i="16"/>
  <c r="AP456" i="16" s="1"/>
  <c r="AA455" i="16"/>
  <c r="AQ455" i="16" s="1"/>
  <c r="Z455" i="16"/>
  <c r="AP455" i="16" s="1"/>
  <c r="AA454" i="16"/>
  <c r="AQ454" i="16" s="1"/>
  <c r="Z454" i="16"/>
  <c r="AP454" i="16" s="1"/>
  <c r="AA453" i="16"/>
  <c r="AQ453" i="16" s="1"/>
  <c r="Z453" i="16"/>
  <c r="AP453" i="16" s="1"/>
  <c r="AA452" i="16"/>
  <c r="AQ452" i="16" s="1"/>
  <c r="Z452" i="16"/>
  <c r="AP452" i="16" s="1"/>
  <c r="AA451" i="16"/>
  <c r="AQ451" i="16" s="1"/>
  <c r="Z451" i="16"/>
  <c r="AP451" i="16" s="1"/>
  <c r="AA450" i="16"/>
  <c r="AQ450" i="16" s="1"/>
  <c r="Z450" i="16"/>
  <c r="AP450" i="16" s="1"/>
  <c r="AA449" i="16"/>
  <c r="AQ449" i="16" s="1"/>
  <c r="Z449" i="16"/>
  <c r="AP449" i="16" s="1"/>
  <c r="AA448" i="16"/>
  <c r="AQ448" i="16" s="1"/>
  <c r="Z448" i="16"/>
  <c r="AP448" i="16" s="1"/>
  <c r="AA447" i="16"/>
  <c r="AQ447" i="16" s="1"/>
  <c r="Z447" i="16"/>
  <c r="AP447" i="16" s="1"/>
  <c r="AA446" i="16"/>
  <c r="AQ446" i="16" s="1"/>
  <c r="Z446" i="16"/>
  <c r="AP446" i="16" s="1"/>
  <c r="AA445" i="16"/>
  <c r="Z445" i="16"/>
  <c r="AP445" i="16" s="1"/>
  <c r="AA444" i="16"/>
  <c r="AQ444" i="16" s="1"/>
  <c r="Z444" i="16"/>
  <c r="AP444" i="16" s="1"/>
  <c r="AA443" i="16"/>
  <c r="AQ443" i="16" s="1"/>
  <c r="Z443" i="16"/>
  <c r="AP443" i="16" s="1"/>
  <c r="AA442" i="16"/>
  <c r="AQ442" i="16" s="1"/>
  <c r="Z442" i="16"/>
  <c r="AP442" i="16" s="1"/>
  <c r="AA441" i="16"/>
  <c r="AQ441" i="16" s="1"/>
  <c r="Z441" i="16"/>
  <c r="AP441" i="16" s="1"/>
  <c r="AA440" i="16"/>
  <c r="AQ440" i="16" s="1"/>
  <c r="Z440" i="16"/>
  <c r="AP440" i="16" s="1"/>
  <c r="AA439" i="16"/>
  <c r="AQ439" i="16" s="1"/>
  <c r="Z439" i="16"/>
  <c r="AP439" i="16" s="1"/>
  <c r="AA438" i="16"/>
  <c r="AQ438" i="16" s="1"/>
  <c r="Z438" i="16"/>
  <c r="AP438" i="16" s="1"/>
  <c r="AA437" i="16"/>
  <c r="AQ437" i="16" s="1"/>
  <c r="Z437" i="16"/>
  <c r="AP437" i="16" s="1"/>
  <c r="AA436" i="16"/>
  <c r="AQ436" i="16" s="1"/>
  <c r="Z436" i="16"/>
  <c r="AP436" i="16" s="1"/>
  <c r="AA435" i="16"/>
  <c r="AQ435" i="16" s="1"/>
  <c r="Z435" i="16"/>
  <c r="AP435" i="16" s="1"/>
  <c r="AA434" i="16"/>
  <c r="AQ434" i="16" s="1"/>
  <c r="Z434" i="16"/>
  <c r="AP434" i="16" s="1"/>
  <c r="AA433" i="16"/>
  <c r="AQ433" i="16" s="1"/>
  <c r="Z433" i="16"/>
  <c r="AP433" i="16" s="1"/>
  <c r="AA432" i="16"/>
  <c r="AQ432" i="16" s="1"/>
  <c r="Z432" i="16"/>
  <c r="AP432" i="16" s="1"/>
  <c r="AA431" i="16"/>
  <c r="AQ431" i="16" s="1"/>
  <c r="Z431" i="16"/>
  <c r="AP431" i="16" s="1"/>
  <c r="AA430" i="16"/>
  <c r="AQ430" i="16" s="1"/>
  <c r="Z430" i="16"/>
  <c r="AP430" i="16" s="1"/>
  <c r="AA429" i="16"/>
  <c r="AQ429" i="16" s="1"/>
  <c r="Z429" i="16"/>
  <c r="AP429" i="16" s="1"/>
  <c r="AA428" i="16"/>
  <c r="AQ428" i="16" s="1"/>
  <c r="Z428" i="16"/>
  <c r="AP428" i="16" s="1"/>
  <c r="AA427" i="16"/>
  <c r="AQ427" i="16" s="1"/>
  <c r="Z427" i="16"/>
  <c r="AP427" i="16" s="1"/>
  <c r="AA426" i="16"/>
  <c r="AQ426" i="16" s="1"/>
  <c r="Z426" i="16"/>
  <c r="AP426" i="16" s="1"/>
  <c r="AE425" i="16"/>
  <c r="AA425" i="16"/>
  <c r="Z425" i="16"/>
  <c r="AP425" i="16" s="1"/>
  <c r="AA424" i="16"/>
  <c r="AQ424" i="16" s="1"/>
  <c r="Z424" i="16"/>
  <c r="AP424" i="16" s="1"/>
  <c r="AA423" i="16"/>
  <c r="AQ423" i="16" s="1"/>
  <c r="Z423" i="16"/>
  <c r="AP423" i="16" s="1"/>
  <c r="Z422" i="16"/>
  <c r="AP422" i="16" s="1"/>
  <c r="E422" i="16"/>
  <c r="AA421" i="16"/>
  <c r="AQ421" i="16" s="1"/>
  <c r="Z421" i="16"/>
  <c r="AP421" i="16" s="1"/>
  <c r="AA420" i="16"/>
  <c r="AQ420" i="16" s="1"/>
  <c r="Z420" i="16"/>
  <c r="AP420" i="16" s="1"/>
  <c r="AA419" i="16"/>
  <c r="AQ419" i="16" s="1"/>
  <c r="Z419" i="16"/>
  <c r="AP419" i="16" s="1"/>
  <c r="AL418" i="16"/>
  <c r="AL471" i="16" s="1"/>
  <c r="AA418" i="16"/>
  <c r="AQ418" i="16" s="1"/>
  <c r="Z418" i="16"/>
  <c r="AA417" i="16"/>
  <c r="AQ417" i="16" s="1"/>
  <c r="Z417" i="16"/>
  <c r="AP417" i="16" s="1"/>
  <c r="AA416" i="16"/>
  <c r="AQ416" i="16" s="1"/>
  <c r="Z416" i="16"/>
  <c r="AP416" i="16" s="1"/>
  <c r="AA415" i="16"/>
  <c r="AQ415" i="16" s="1"/>
  <c r="Z415" i="16"/>
  <c r="AP415" i="16" s="1"/>
  <c r="AA414" i="16"/>
  <c r="AQ414" i="16" s="1"/>
  <c r="Z414" i="16"/>
  <c r="AP414" i="16" s="1"/>
  <c r="AG413" i="16"/>
  <c r="AA413" i="16"/>
  <c r="Z413" i="16"/>
  <c r="AP413" i="16" s="1"/>
  <c r="AA412" i="16"/>
  <c r="AQ412" i="16" s="1"/>
  <c r="Z412" i="16"/>
  <c r="AP412" i="16" s="1"/>
  <c r="Z411" i="16"/>
  <c r="AP411" i="16" s="1"/>
  <c r="E411" i="16"/>
  <c r="AA410" i="16"/>
  <c r="AQ410" i="16" s="1"/>
  <c r="Z410" i="16"/>
  <c r="AP410" i="16" s="1"/>
  <c r="AA409" i="16"/>
  <c r="AQ409" i="16" s="1"/>
  <c r="Z409" i="16"/>
  <c r="AP409" i="16" s="1"/>
  <c r="AA408" i="16"/>
  <c r="AQ408" i="16" s="1"/>
  <c r="Z408" i="16"/>
  <c r="AP408" i="16" s="1"/>
  <c r="AA407" i="16"/>
  <c r="AQ407" i="16" s="1"/>
  <c r="Z407" i="16"/>
  <c r="AP407" i="16" s="1"/>
  <c r="AE406" i="16"/>
  <c r="AA406" i="16"/>
  <c r="Z406" i="16"/>
  <c r="AP406" i="16" s="1"/>
  <c r="AA405" i="16"/>
  <c r="AQ405" i="16" s="1"/>
  <c r="Z405" i="16"/>
  <c r="AP405" i="16" s="1"/>
  <c r="AG404" i="16"/>
  <c r="AE404" i="16"/>
  <c r="AA404" i="16"/>
  <c r="Z404" i="16"/>
  <c r="AP404" i="16" s="1"/>
  <c r="AE403" i="16"/>
  <c r="AA403" i="16"/>
  <c r="Z403" i="16"/>
  <c r="AP403" i="16" s="1"/>
  <c r="AG402" i="16"/>
  <c r="AE402" i="16"/>
  <c r="AA402" i="16"/>
  <c r="Z402" i="16"/>
  <c r="AP402" i="16" s="1"/>
  <c r="AA401" i="16"/>
  <c r="AQ401" i="16" s="1"/>
  <c r="Z401" i="16"/>
  <c r="AP401" i="16" s="1"/>
  <c r="AA400" i="16"/>
  <c r="AQ400" i="16" s="1"/>
  <c r="Z400" i="16"/>
  <c r="AP400" i="16" s="1"/>
  <c r="AA399" i="16"/>
  <c r="AQ399" i="16" s="1"/>
  <c r="Z399" i="16"/>
  <c r="AP399" i="16" s="1"/>
  <c r="AA398" i="16"/>
  <c r="Z398" i="16"/>
  <c r="AP398" i="16" s="1"/>
  <c r="AA397" i="16"/>
  <c r="AQ397" i="16" s="1"/>
  <c r="Z397" i="16"/>
  <c r="AO396" i="16"/>
  <c r="AN396" i="16"/>
  <c r="AM396" i="16"/>
  <c r="AL396" i="16"/>
  <c r="AK396" i="16"/>
  <c r="AJ396" i="16"/>
  <c r="AI396" i="16"/>
  <c r="AH396" i="16"/>
  <c r="AF396" i="16"/>
  <c r="AC396" i="16"/>
  <c r="AB396" i="16"/>
  <c r="Y396" i="16"/>
  <c r="X396" i="16"/>
  <c r="U396" i="16"/>
  <c r="T396" i="16"/>
  <c r="S396" i="16"/>
  <c r="R396" i="16"/>
  <c r="Q396" i="16"/>
  <c r="P396" i="16"/>
  <c r="O396" i="16"/>
  <c r="N396" i="16"/>
  <c r="L396" i="16"/>
  <c r="K396" i="16"/>
  <c r="J396" i="16"/>
  <c r="I396" i="16"/>
  <c r="H396" i="16"/>
  <c r="G396" i="16"/>
  <c r="F396" i="16"/>
  <c r="AA395" i="16"/>
  <c r="AQ395" i="16" s="1"/>
  <c r="Z395" i="16"/>
  <c r="AP395" i="16" s="1"/>
  <c r="AA394" i="16"/>
  <c r="AQ394" i="16" s="1"/>
  <c r="Z394" i="16"/>
  <c r="AP394" i="16" s="1"/>
  <c r="AA393" i="16"/>
  <c r="AQ393" i="16" s="1"/>
  <c r="Z393" i="16"/>
  <c r="AP393" i="16" s="1"/>
  <c r="AA392" i="16"/>
  <c r="AQ392" i="16" s="1"/>
  <c r="Z392" i="16"/>
  <c r="AP392" i="16" s="1"/>
  <c r="AA391" i="16"/>
  <c r="AQ391" i="16" s="1"/>
  <c r="Z391" i="16"/>
  <c r="AP391" i="16" s="1"/>
  <c r="AA390" i="16"/>
  <c r="AQ390" i="16" s="1"/>
  <c r="Z390" i="16"/>
  <c r="AP390" i="16" s="1"/>
  <c r="W389" i="16"/>
  <c r="AA389" i="16" s="1"/>
  <c r="AQ389" i="16" s="1"/>
  <c r="V389" i="16"/>
  <c r="AD388" i="16"/>
  <c r="AD396" i="16" s="1"/>
  <c r="Z388" i="16"/>
  <c r="E388" i="16"/>
  <c r="AA387" i="16"/>
  <c r="AQ387" i="16" s="1"/>
  <c r="Z387" i="16"/>
  <c r="AP387" i="16" s="1"/>
  <c r="AA386" i="16"/>
  <c r="AQ386" i="16" s="1"/>
  <c r="Z386" i="16"/>
  <c r="AP386" i="16" s="1"/>
  <c r="AA385" i="16"/>
  <c r="AQ385" i="16" s="1"/>
  <c r="Z385" i="16"/>
  <c r="AP385" i="16" s="1"/>
  <c r="AA384" i="16"/>
  <c r="AQ384" i="16" s="1"/>
  <c r="Z384" i="16"/>
  <c r="AP384" i="16" s="1"/>
  <c r="AA383" i="16"/>
  <c r="AQ383" i="16" s="1"/>
  <c r="Z383" i="16"/>
  <c r="AP383" i="16" s="1"/>
  <c r="AA382" i="16"/>
  <c r="AQ382" i="16" s="1"/>
  <c r="Z382" i="16"/>
  <c r="AP382" i="16" s="1"/>
  <c r="AA381" i="16"/>
  <c r="AQ381" i="16" s="1"/>
  <c r="Z381" i="16"/>
  <c r="AP381" i="16" s="1"/>
  <c r="AA380" i="16"/>
  <c r="AQ380" i="16" s="1"/>
  <c r="Z380" i="16"/>
  <c r="AP380" i="16" s="1"/>
  <c r="AA379" i="16"/>
  <c r="AQ379" i="16" s="1"/>
  <c r="Z379" i="16"/>
  <c r="AP379" i="16" s="1"/>
  <c r="AA378" i="16"/>
  <c r="AQ378" i="16" s="1"/>
  <c r="Z378" i="16"/>
  <c r="AP378" i="16" s="1"/>
  <c r="AA377" i="16"/>
  <c r="AQ377" i="16" s="1"/>
  <c r="Z377" i="16"/>
  <c r="AP377" i="16" s="1"/>
  <c r="AA376" i="16"/>
  <c r="AQ376" i="16" s="1"/>
  <c r="Z376" i="16"/>
  <c r="AP376" i="16" s="1"/>
  <c r="Z375" i="16"/>
  <c r="AP375" i="16" s="1"/>
  <c r="E375" i="16"/>
  <c r="AG374" i="16"/>
  <c r="AG396" i="16" s="1"/>
  <c r="AA374" i="16"/>
  <c r="Z374" i="16"/>
  <c r="AP374" i="16" s="1"/>
  <c r="AE373" i="16"/>
  <c r="AA373" i="16"/>
  <c r="Z373" i="16"/>
  <c r="AP373" i="16" s="1"/>
  <c r="AA372" i="16"/>
  <c r="AQ372" i="16" s="1"/>
  <c r="Z372" i="16"/>
  <c r="AP372" i="16" s="1"/>
  <c r="AA371" i="16"/>
  <c r="AQ371" i="16" s="1"/>
  <c r="Z371" i="16"/>
  <c r="AP371" i="16" s="1"/>
  <c r="AA370" i="16"/>
  <c r="AQ370" i="16" s="1"/>
  <c r="Z370" i="16"/>
  <c r="AP370" i="16" s="1"/>
  <c r="AA369" i="16"/>
  <c r="AQ369" i="16" s="1"/>
  <c r="Z369" i="16"/>
  <c r="AP369" i="16" s="1"/>
  <c r="AA368" i="16"/>
  <c r="AQ368" i="16" s="1"/>
  <c r="Z368" i="16"/>
  <c r="AP368" i="16" s="1"/>
  <c r="AA367" i="16"/>
  <c r="AQ367" i="16" s="1"/>
  <c r="Z367" i="16"/>
  <c r="AP367" i="16" s="1"/>
  <c r="AA366" i="16"/>
  <c r="AQ366" i="16" s="1"/>
  <c r="Z366" i="16"/>
  <c r="AP366" i="16" s="1"/>
  <c r="AA365" i="16"/>
  <c r="AQ365" i="16" s="1"/>
  <c r="Z365" i="16"/>
  <c r="AP365" i="16" s="1"/>
  <c r="AA364" i="16"/>
  <c r="AQ364" i="16" s="1"/>
  <c r="Z364" i="16"/>
  <c r="AP364" i="16" s="1"/>
  <c r="AA363" i="16"/>
  <c r="AQ363" i="16" s="1"/>
  <c r="Z363" i="16"/>
  <c r="AP363" i="16" s="1"/>
  <c r="AA362" i="16"/>
  <c r="AQ362" i="16" s="1"/>
  <c r="Z362" i="16"/>
  <c r="AP362" i="16" s="1"/>
  <c r="AA361" i="16"/>
  <c r="AQ361" i="16" s="1"/>
  <c r="Z361" i="16"/>
  <c r="AP361" i="16" s="1"/>
  <c r="Z360" i="16"/>
  <c r="AP360" i="16" s="1"/>
  <c r="E360" i="16"/>
  <c r="E359" i="16"/>
  <c r="D359" i="16"/>
  <c r="Z359" i="16" s="1"/>
  <c r="AP359" i="16" s="1"/>
  <c r="AA358" i="16"/>
  <c r="AQ358" i="16" s="1"/>
  <c r="Z358" i="16"/>
  <c r="AP358" i="16" s="1"/>
  <c r="AA357" i="16"/>
  <c r="AQ357" i="16" s="1"/>
  <c r="Z357" i="16"/>
  <c r="AP357" i="16" s="1"/>
  <c r="AA356" i="16"/>
  <c r="AQ356" i="16" s="1"/>
  <c r="Z356" i="16"/>
  <c r="AP356" i="16" s="1"/>
  <c r="AA355" i="16"/>
  <c r="AQ355" i="16" s="1"/>
  <c r="Z355" i="16"/>
  <c r="AP355" i="16" s="1"/>
  <c r="AA354" i="16"/>
  <c r="AQ354" i="16" s="1"/>
  <c r="Z354" i="16"/>
  <c r="AP354" i="16" s="1"/>
  <c r="AE353" i="16"/>
  <c r="Z353" i="16"/>
  <c r="AP353" i="16" s="1"/>
  <c r="M353" i="16"/>
  <c r="AA353" i="16" s="1"/>
  <c r="AA352" i="16"/>
  <c r="AQ352" i="16" s="1"/>
  <c r="Z352" i="16"/>
  <c r="AP352" i="16" s="1"/>
  <c r="AA351" i="16"/>
  <c r="AQ351" i="16" s="1"/>
  <c r="D351" i="16"/>
  <c r="AA350" i="16"/>
  <c r="AQ350" i="16" s="1"/>
  <c r="Z350" i="16"/>
  <c r="AP350" i="16" s="1"/>
  <c r="AA349" i="16"/>
  <c r="AQ349" i="16" s="1"/>
  <c r="D349" i="16"/>
  <c r="AT349" i="16" s="1"/>
  <c r="AA348" i="16"/>
  <c r="AQ348" i="16" s="1"/>
  <c r="Z348" i="16"/>
  <c r="AP348" i="16" s="1"/>
  <c r="AA347" i="16"/>
  <c r="AQ347" i="16" s="1"/>
  <c r="Z347" i="16"/>
  <c r="AP347" i="16" s="1"/>
  <c r="AA346" i="16"/>
  <c r="AQ346" i="16" s="1"/>
  <c r="D346" i="16"/>
  <c r="AA345" i="16"/>
  <c r="AQ345" i="16" s="1"/>
  <c r="Z345" i="16"/>
  <c r="AP345" i="16" s="1"/>
  <c r="AO343" i="16"/>
  <c r="AN343" i="16"/>
  <c r="AM343" i="16"/>
  <c r="AL343" i="16"/>
  <c r="AK343" i="16"/>
  <c r="AJ343" i="16"/>
  <c r="AI343" i="16"/>
  <c r="AH343" i="16"/>
  <c r="AG343" i="16"/>
  <c r="AF343" i="16"/>
  <c r="AD343" i="16"/>
  <c r="AC343" i="16"/>
  <c r="AB343" i="16"/>
  <c r="Y343" i="16"/>
  <c r="X343" i="16"/>
  <c r="W343" i="16"/>
  <c r="V343" i="16"/>
  <c r="T343" i="16"/>
  <c r="S343" i="16"/>
  <c r="R343" i="16"/>
  <c r="Q343" i="16"/>
  <c r="P343" i="16"/>
  <c r="O343" i="16"/>
  <c r="N343" i="16"/>
  <c r="M343" i="16"/>
  <c r="L343" i="16"/>
  <c r="K343" i="16"/>
  <c r="J343" i="16"/>
  <c r="I343" i="16"/>
  <c r="H343" i="16"/>
  <c r="G343" i="16"/>
  <c r="F343" i="16"/>
  <c r="E343" i="16"/>
  <c r="AA342" i="16"/>
  <c r="AQ342" i="16" s="1"/>
  <c r="Z342" i="16"/>
  <c r="AP342" i="16" s="1"/>
  <c r="AA341" i="16"/>
  <c r="AQ341" i="16" s="1"/>
  <c r="Z341" i="16"/>
  <c r="AP341" i="16" s="1"/>
  <c r="AA340" i="16"/>
  <c r="AQ340" i="16" s="1"/>
  <c r="Z340" i="16"/>
  <c r="AP340" i="16" s="1"/>
  <c r="AA339" i="16"/>
  <c r="AQ339" i="16" s="1"/>
  <c r="Z339" i="16"/>
  <c r="AP339" i="16" s="1"/>
  <c r="AA338" i="16"/>
  <c r="AQ338" i="16" s="1"/>
  <c r="Z338" i="16"/>
  <c r="AP338" i="16" s="1"/>
  <c r="AA337" i="16"/>
  <c r="AQ337" i="16" s="1"/>
  <c r="Z337" i="16"/>
  <c r="AP337" i="16" s="1"/>
  <c r="AA336" i="16"/>
  <c r="AQ336" i="16" s="1"/>
  <c r="Z336" i="16"/>
  <c r="AP336" i="16" s="1"/>
  <c r="AA335" i="16"/>
  <c r="AQ335" i="16" s="1"/>
  <c r="Z335" i="16"/>
  <c r="AP335" i="16" s="1"/>
  <c r="Z334" i="16"/>
  <c r="AP334" i="16" s="1"/>
  <c r="U334" i="16"/>
  <c r="AA334" i="16" s="1"/>
  <c r="AQ334" i="16" s="1"/>
  <c r="AA333" i="16"/>
  <c r="AQ333" i="16" s="1"/>
  <c r="D333" i="16"/>
  <c r="AA332" i="16"/>
  <c r="AQ332" i="16" s="1"/>
  <c r="Z332" i="16"/>
  <c r="AP332" i="16" s="1"/>
  <c r="AA331" i="16"/>
  <c r="AQ331" i="16" s="1"/>
  <c r="Z331" i="16"/>
  <c r="AP331" i="16" s="1"/>
  <c r="AA330" i="16"/>
  <c r="AQ330" i="16" s="1"/>
  <c r="Z330" i="16"/>
  <c r="AP330" i="16" s="1"/>
  <c r="AA329" i="16"/>
  <c r="AQ329" i="16" s="1"/>
  <c r="Z329" i="16"/>
  <c r="AP329" i="16" s="1"/>
  <c r="AA328" i="16"/>
  <c r="AQ328" i="16" s="1"/>
  <c r="Z328" i="16"/>
  <c r="AP328" i="16" s="1"/>
  <c r="AE343" i="16"/>
  <c r="AA327" i="16"/>
  <c r="AQ327" i="16" s="1"/>
  <c r="Z327" i="16"/>
  <c r="AP327" i="16" s="1"/>
  <c r="AA326" i="16"/>
  <c r="AQ326" i="16" s="1"/>
  <c r="Z326" i="16"/>
  <c r="AP326" i="16" s="1"/>
  <c r="AA325" i="16"/>
  <c r="AQ325" i="16" s="1"/>
  <c r="Z325" i="16"/>
  <c r="AP325" i="16" s="1"/>
  <c r="AA324" i="16"/>
  <c r="AQ324" i="16" s="1"/>
  <c r="Z324" i="16"/>
  <c r="AP324" i="16" s="1"/>
  <c r="AA323" i="16"/>
  <c r="AQ323" i="16" s="1"/>
  <c r="Z323" i="16"/>
  <c r="AA322" i="16"/>
  <c r="AQ322" i="16" s="1"/>
  <c r="Z322" i="16"/>
  <c r="AP322" i="16" s="1"/>
  <c r="AO321" i="16"/>
  <c r="AN321" i="16"/>
  <c r="AM321" i="16"/>
  <c r="AL321" i="16"/>
  <c r="AK321" i="16"/>
  <c r="AJ321" i="16"/>
  <c r="AI321" i="16"/>
  <c r="AH321" i="16"/>
  <c r="AG321" i="16"/>
  <c r="AF321" i="16"/>
  <c r="AD321" i="16"/>
  <c r="AC321" i="16"/>
  <c r="AB321" i="16"/>
  <c r="Y321" i="16"/>
  <c r="X321" i="16"/>
  <c r="W321" i="16"/>
  <c r="V321" i="16"/>
  <c r="U321" i="16"/>
  <c r="T321" i="16"/>
  <c r="S321" i="16"/>
  <c r="R321" i="16"/>
  <c r="Q321" i="16"/>
  <c r="P321" i="16"/>
  <c r="O321" i="16"/>
  <c r="N321" i="16"/>
  <c r="M321" i="16"/>
  <c r="L321" i="16"/>
  <c r="K321" i="16"/>
  <c r="J321" i="16"/>
  <c r="I321" i="16"/>
  <c r="H321" i="16"/>
  <c r="G321" i="16"/>
  <c r="F321" i="16"/>
  <c r="E321" i="16"/>
  <c r="D321" i="16"/>
  <c r="AA320" i="16"/>
  <c r="AQ320" i="16" s="1"/>
  <c r="Z320" i="16"/>
  <c r="AP320" i="16" s="1"/>
  <c r="AA319" i="16"/>
  <c r="AQ319" i="16" s="1"/>
  <c r="Z319" i="16"/>
  <c r="AP319" i="16" s="1"/>
  <c r="AA318" i="16"/>
  <c r="AQ318" i="16" s="1"/>
  <c r="Z318" i="16"/>
  <c r="AP318" i="16" s="1"/>
  <c r="AA317" i="16"/>
  <c r="AQ317" i="16" s="1"/>
  <c r="Z317" i="16"/>
  <c r="AP317" i="16" s="1"/>
  <c r="AA316" i="16"/>
  <c r="AQ316" i="16" s="1"/>
  <c r="Z316" i="16"/>
  <c r="AP316" i="16" s="1"/>
  <c r="AA315" i="16"/>
  <c r="AQ315" i="16" s="1"/>
  <c r="Z315" i="16"/>
  <c r="AP315" i="16" s="1"/>
  <c r="AA314" i="16"/>
  <c r="AQ314" i="16" s="1"/>
  <c r="Z314" i="16"/>
  <c r="AP314" i="16" s="1"/>
  <c r="AA313" i="16"/>
  <c r="AQ313" i="16" s="1"/>
  <c r="Z313" i="16"/>
  <c r="AP313" i="16" s="1"/>
  <c r="AA312" i="16"/>
  <c r="AQ312" i="16" s="1"/>
  <c r="Z312" i="16"/>
  <c r="AP312" i="16" s="1"/>
  <c r="AA311" i="16"/>
  <c r="AQ311" i="16" s="1"/>
  <c r="Z311" i="16"/>
  <c r="AP311" i="16" s="1"/>
  <c r="AA310" i="16"/>
  <c r="AQ310" i="16" s="1"/>
  <c r="Z310" i="16"/>
  <c r="AP310" i="16" s="1"/>
  <c r="AA309" i="16"/>
  <c r="AQ309" i="16" s="1"/>
  <c r="Z309" i="16"/>
  <c r="AP309" i="16" s="1"/>
  <c r="AA308" i="16"/>
  <c r="AQ308" i="16" s="1"/>
  <c r="Z308" i="16"/>
  <c r="AP308" i="16" s="1"/>
  <c r="AA307" i="16"/>
  <c r="AQ307" i="16" s="1"/>
  <c r="Z307" i="16"/>
  <c r="AP307" i="16" s="1"/>
  <c r="AA306" i="16"/>
  <c r="AQ306" i="16" s="1"/>
  <c r="Z306" i="16"/>
  <c r="AP306" i="16" s="1"/>
  <c r="AA305" i="16"/>
  <c r="AQ305" i="16" s="1"/>
  <c r="Z305" i="16"/>
  <c r="AP305" i="16" s="1"/>
  <c r="AA304" i="16"/>
  <c r="AQ304" i="16" s="1"/>
  <c r="Z304" i="16"/>
  <c r="AP304" i="16" s="1"/>
  <c r="AA303" i="16"/>
  <c r="AQ303" i="16" s="1"/>
  <c r="Z303" i="16"/>
  <c r="AP303" i="16" s="1"/>
  <c r="AA302" i="16"/>
  <c r="AQ302" i="16" s="1"/>
  <c r="Z302" i="16"/>
  <c r="AP302" i="16" s="1"/>
  <c r="AA301" i="16"/>
  <c r="Z301" i="16"/>
  <c r="AP301" i="16" s="1"/>
  <c r="AO300" i="16"/>
  <c r="AN300" i="16"/>
  <c r="AM300" i="16"/>
  <c r="AL300" i="16"/>
  <c r="AK300" i="16"/>
  <c r="AJ300" i="16"/>
  <c r="AI300" i="16"/>
  <c r="AH300" i="16"/>
  <c r="AG300" i="16"/>
  <c r="AF300" i="16"/>
  <c r="AD300" i="16"/>
  <c r="AC300" i="16"/>
  <c r="AB300" i="16"/>
  <c r="Y300" i="16"/>
  <c r="X300" i="16"/>
  <c r="W300" i="16"/>
  <c r="V300" i="16"/>
  <c r="U300" i="16"/>
  <c r="T300" i="16"/>
  <c r="S300" i="16"/>
  <c r="R300" i="16"/>
  <c r="Q300" i="16"/>
  <c r="P300" i="16"/>
  <c r="O300" i="16"/>
  <c r="N300" i="16"/>
  <c r="M300" i="16"/>
  <c r="L300" i="16"/>
  <c r="K300" i="16"/>
  <c r="J300" i="16"/>
  <c r="I300" i="16"/>
  <c r="H300" i="16"/>
  <c r="G300" i="16"/>
  <c r="F300" i="16"/>
  <c r="E300" i="16"/>
  <c r="AA299" i="16"/>
  <c r="AQ299" i="16" s="1"/>
  <c r="Z299" i="16"/>
  <c r="AP299" i="16" s="1"/>
  <c r="AA298" i="16"/>
  <c r="AQ298" i="16" s="1"/>
  <c r="Z298" i="16"/>
  <c r="AP298" i="16" s="1"/>
  <c r="AA297" i="16"/>
  <c r="AQ297" i="16" s="1"/>
  <c r="Z297" i="16"/>
  <c r="AP297" i="16" s="1"/>
  <c r="AA296" i="16"/>
  <c r="AQ296" i="16" s="1"/>
  <c r="Z296" i="16"/>
  <c r="AP296" i="16" s="1"/>
  <c r="AA295" i="16"/>
  <c r="AQ295" i="16" s="1"/>
  <c r="Z295" i="16"/>
  <c r="AP295" i="16" s="1"/>
  <c r="AA294" i="16"/>
  <c r="AQ294" i="16" s="1"/>
  <c r="Z294" i="16"/>
  <c r="AP294" i="16" s="1"/>
  <c r="AA293" i="16"/>
  <c r="AQ293" i="16" s="1"/>
  <c r="Z293" i="16"/>
  <c r="AP293" i="16" s="1"/>
  <c r="AA292" i="16"/>
  <c r="AQ292" i="16" s="1"/>
  <c r="Z292" i="16"/>
  <c r="AP292" i="16" s="1"/>
  <c r="AA291" i="16"/>
  <c r="AQ291" i="16" s="1"/>
  <c r="Z291" i="16"/>
  <c r="AP291" i="16" s="1"/>
  <c r="AA290" i="16"/>
  <c r="AQ290" i="16" s="1"/>
  <c r="Z290" i="16"/>
  <c r="AP290" i="16" s="1"/>
  <c r="AA289" i="16"/>
  <c r="AQ289" i="16" s="1"/>
  <c r="D289" i="16"/>
  <c r="G39" i="9" s="1"/>
  <c r="AA288" i="16"/>
  <c r="AQ288" i="16" s="1"/>
  <c r="Z288" i="16"/>
  <c r="AP288" i="16" s="1"/>
  <c r="AA287" i="16"/>
  <c r="AQ287" i="16" s="1"/>
  <c r="Z287" i="16"/>
  <c r="AP287" i="16" s="1"/>
  <c r="AA286" i="16"/>
  <c r="AQ286" i="16" s="1"/>
  <c r="Z286" i="16"/>
  <c r="AP286" i="16" s="1"/>
  <c r="AA285" i="16"/>
  <c r="AQ285" i="16" s="1"/>
  <c r="Z285" i="16"/>
  <c r="AP285" i="16" s="1"/>
  <c r="AA284" i="16"/>
  <c r="AQ284" i="16" s="1"/>
  <c r="Z284" i="16"/>
  <c r="AP284" i="16" s="1"/>
  <c r="AA283" i="16"/>
  <c r="AQ283" i="16" s="1"/>
  <c r="Z283" i="16"/>
  <c r="AP283" i="16" s="1"/>
  <c r="AA282" i="16"/>
  <c r="AQ282" i="16" s="1"/>
  <c r="Z282" i="16"/>
  <c r="AP282" i="16" s="1"/>
  <c r="AE300" i="16"/>
  <c r="AA281" i="16"/>
  <c r="AQ281" i="16" s="1"/>
  <c r="Z281" i="16"/>
  <c r="AP281" i="16" s="1"/>
  <c r="AA280" i="16"/>
  <c r="AQ280" i="16" s="1"/>
  <c r="Z280" i="16"/>
  <c r="AP280" i="16" s="1"/>
  <c r="AA279" i="16"/>
  <c r="AQ279" i="16" s="1"/>
  <c r="Z279" i="16"/>
  <c r="AP279" i="16" s="1"/>
  <c r="AA278" i="16"/>
  <c r="AQ278" i="16" s="1"/>
  <c r="Z278" i="16"/>
  <c r="AO277" i="16"/>
  <c r="AN277" i="16"/>
  <c r="AM277" i="16"/>
  <c r="AL277" i="16"/>
  <c r="AK277" i="16"/>
  <c r="AJ277" i="16"/>
  <c r="AI277" i="16"/>
  <c r="AH277" i="16"/>
  <c r="AG277" i="16"/>
  <c r="AF277" i="16"/>
  <c r="AD277" i="16"/>
  <c r="AC277" i="16"/>
  <c r="AB277" i="16"/>
  <c r="Y277" i="16"/>
  <c r="X277" i="16"/>
  <c r="W277" i="16"/>
  <c r="V277" i="16"/>
  <c r="U277" i="16"/>
  <c r="T277" i="16"/>
  <c r="S277" i="16"/>
  <c r="R277" i="16"/>
  <c r="Q277" i="16"/>
  <c r="P277" i="16"/>
  <c r="O277" i="16"/>
  <c r="N277" i="16"/>
  <c r="M277" i="16"/>
  <c r="L277" i="16"/>
  <c r="K277" i="16"/>
  <c r="J277" i="16"/>
  <c r="I277" i="16"/>
  <c r="H277" i="16"/>
  <c r="G277" i="16"/>
  <c r="F277" i="16"/>
  <c r="E277" i="16"/>
  <c r="AA276" i="16"/>
  <c r="AQ276" i="16" s="1"/>
  <c r="Z276" i="16"/>
  <c r="AP276" i="16" s="1"/>
  <c r="AA275" i="16"/>
  <c r="AQ275" i="16" s="1"/>
  <c r="Z275" i="16"/>
  <c r="AP275" i="16" s="1"/>
  <c r="AA274" i="16"/>
  <c r="AQ274" i="16" s="1"/>
  <c r="Z274" i="16"/>
  <c r="AP274" i="16" s="1"/>
  <c r="AA273" i="16"/>
  <c r="AQ273" i="16" s="1"/>
  <c r="Z273" i="16"/>
  <c r="AP273" i="16" s="1"/>
  <c r="AA272" i="16"/>
  <c r="AQ272" i="16" s="1"/>
  <c r="Z272" i="16"/>
  <c r="AP272" i="16" s="1"/>
  <c r="AA271" i="16"/>
  <c r="AQ271" i="16" s="1"/>
  <c r="Z271" i="16"/>
  <c r="AP271" i="16" s="1"/>
  <c r="AA270" i="16"/>
  <c r="AQ270" i="16" s="1"/>
  <c r="Z270" i="16"/>
  <c r="AP270" i="16" s="1"/>
  <c r="AA269" i="16"/>
  <c r="AQ269" i="16" s="1"/>
  <c r="Z269" i="16"/>
  <c r="AP269" i="16" s="1"/>
  <c r="AA268" i="16"/>
  <c r="AQ268" i="16" s="1"/>
  <c r="Z268" i="16"/>
  <c r="AP268" i="16" s="1"/>
  <c r="AA267" i="16"/>
  <c r="AQ267" i="16" s="1"/>
  <c r="Z267" i="16"/>
  <c r="AP267" i="16" s="1"/>
  <c r="AA266" i="16"/>
  <c r="AQ266" i="16" s="1"/>
  <c r="D266" i="16"/>
  <c r="G38" i="9" s="1"/>
  <c r="AA265" i="16"/>
  <c r="AQ265" i="16" s="1"/>
  <c r="Z265" i="16"/>
  <c r="AP265" i="16" s="1"/>
  <c r="AA264" i="16"/>
  <c r="AQ264" i="16" s="1"/>
  <c r="Z264" i="16"/>
  <c r="AP264" i="16" s="1"/>
  <c r="AA263" i="16"/>
  <c r="AQ263" i="16" s="1"/>
  <c r="Z263" i="16"/>
  <c r="AP263" i="16" s="1"/>
  <c r="AA262" i="16"/>
  <c r="AQ262" i="16" s="1"/>
  <c r="Z262" i="16"/>
  <c r="AP262" i="16" s="1"/>
  <c r="AA261" i="16"/>
  <c r="AQ261" i="16" s="1"/>
  <c r="Z261" i="16"/>
  <c r="AP261" i="16" s="1"/>
  <c r="AA260" i="16"/>
  <c r="AQ260" i="16" s="1"/>
  <c r="Z260" i="16"/>
  <c r="AP260" i="16" s="1"/>
  <c r="AA259" i="16"/>
  <c r="AQ259" i="16" s="1"/>
  <c r="Z259" i="16"/>
  <c r="AP259" i="16" s="1"/>
  <c r="AA258" i="16"/>
  <c r="AQ258" i="16" s="1"/>
  <c r="Z258" i="16"/>
  <c r="AP258" i="16" s="1"/>
  <c r="AA257" i="16"/>
  <c r="AQ257" i="16" s="1"/>
  <c r="Z257" i="16"/>
  <c r="AP257" i="16" s="1"/>
  <c r="AE277" i="16"/>
  <c r="AA256" i="16"/>
  <c r="AQ256" i="16" s="1"/>
  <c r="Z256" i="16"/>
  <c r="AP256" i="16" s="1"/>
  <c r="AA255" i="16"/>
  <c r="AQ255" i="16" s="1"/>
  <c r="Z255" i="16"/>
  <c r="AP255" i="16" s="1"/>
  <c r="AA254" i="16"/>
  <c r="AQ254" i="16" s="1"/>
  <c r="Z254" i="16"/>
  <c r="AP254" i="16" s="1"/>
  <c r="AA253" i="16"/>
  <c r="AQ253" i="16" s="1"/>
  <c r="Z253" i="16"/>
  <c r="AP253" i="16" s="1"/>
  <c r="AO252" i="16"/>
  <c r="AN252" i="16"/>
  <c r="AM252" i="16"/>
  <c r="AL252" i="16"/>
  <c r="AK252" i="16"/>
  <c r="AJ252" i="16"/>
  <c r="AI252" i="16"/>
  <c r="AH252" i="16"/>
  <c r="AG252" i="16"/>
  <c r="AF252" i="16"/>
  <c r="AD252" i="16"/>
  <c r="AC252" i="16"/>
  <c r="AB252" i="16"/>
  <c r="Y252" i="16"/>
  <c r="X252" i="16"/>
  <c r="W252" i="16"/>
  <c r="V252" i="16"/>
  <c r="U252" i="16"/>
  <c r="T252" i="16"/>
  <c r="S252" i="16"/>
  <c r="R252" i="16"/>
  <c r="Q252" i="16"/>
  <c r="P252" i="16"/>
  <c r="O252" i="16"/>
  <c r="N252" i="16"/>
  <c r="M252" i="16"/>
  <c r="L252" i="16"/>
  <c r="K252" i="16"/>
  <c r="J252" i="16"/>
  <c r="I252" i="16"/>
  <c r="H252" i="16"/>
  <c r="G252" i="16"/>
  <c r="F252" i="16"/>
  <c r="E252" i="16"/>
  <c r="D252" i="16"/>
  <c r="AA251" i="16"/>
  <c r="AQ251" i="16" s="1"/>
  <c r="Z251" i="16"/>
  <c r="AP251" i="16" s="1"/>
  <c r="AA250" i="16"/>
  <c r="AQ250" i="16" s="1"/>
  <c r="Z250" i="16"/>
  <c r="AP250" i="16" s="1"/>
  <c r="AA249" i="16"/>
  <c r="AQ249" i="16" s="1"/>
  <c r="Z249" i="16"/>
  <c r="AP249" i="16" s="1"/>
  <c r="AA248" i="16"/>
  <c r="AQ248" i="16" s="1"/>
  <c r="Z248" i="16"/>
  <c r="AP248" i="16" s="1"/>
  <c r="AA247" i="16"/>
  <c r="AQ247" i="16" s="1"/>
  <c r="Z247" i="16"/>
  <c r="AP247" i="16" s="1"/>
  <c r="AA246" i="16"/>
  <c r="AQ246" i="16" s="1"/>
  <c r="Z246" i="16"/>
  <c r="AP246" i="16" s="1"/>
  <c r="AA245" i="16"/>
  <c r="AQ245" i="16" s="1"/>
  <c r="Z245" i="16"/>
  <c r="AP245" i="16" s="1"/>
  <c r="AA244" i="16"/>
  <c r="AQ244" i="16" s="1"/>
  <c r="Z244" i="16"/>
  <c r="AP244" i="16" s="1"/>
  <c r="AA243" i="16"/>
  <c r="AQ243" i="16" s="1"/>
  <c r="Z243" i="16"/>
  <c r="AP243" i="16" s="1"/>
  <c r="AA242" i="16"/>
  <c r="AQ242" i="16" s="1"/>
  <c r="Z242" i="16"/>
  <c r="AP242" i="16" s="1"/>
  <c r="AA241" i="16"/>
  <c r="AQ241" i="16" s="1"/>
  <c r="Z241" i="16"/>
  <c r="AP241" i="16" s="1"/>
  <c r="AA240" i="16"/>
  <c r="AQ240" i="16" s="1"/>
  <c r="Z240" i="16"/>
  <c r="AP240" i="16" s="1"/>
  <c r="AA239" i="16"/>
  <c r="AQ239" i="16" s="1"/>
  <c r="Z239" i="16"/>
  <c r="AP239" i="16" s="1"/>
  <c r="AA238" i="16"/>
  <c r="Z238" i="16"/>
  <c r="AP238" i="16" s="1"/>
  <c r="AA237" i="16"/>
  <c r="AQ237" i="16" s="1"/>
  <c r="Z237" i="16"/>
  <c r="AP237" i="16" s="1"/>
  <c r="AA236" i="16"/>
  <c r="AQ236" i="16" s="1"/>
  <c r="Z236" i="16"/>
  <c r="AP236" i="16" s="1"/>
  <c r="AO235" i="16"/>
  <c r="AN235" i="16"/>
  <c r="AM235" i="16"/>
  <c r="AL235" i="16"/>
  <c r="AK235" i="16"/>
  <c r="AJ235" i="16"/>
  <c r="AI235" i="16"/>
  <c r="AH235" i="16"/>
  <c r="AG235" i="16"/>
  <c r="AF235" i="16"/>
  <c r="AD235" i="16"/>
  <c r="AC235" i="16"/>
  <c r="AB235" i="16"/>
  <c r="Y235" i="16"/>
  <c r="X235" i="16"/>
  <c r="W235" i="16"/>
  <c r="V235" i="16"/>
  <c r="U235" i="16"/>
  <c r="T235" i="16"/>
  <c r="S235" i="16"/>
  <c r="R235" i="16"/>
  <c r="Q235" i="16"/>
  <c r="P235" i="16"/>
  <c r="O235" i="16"/>
  <c r="N235" i="16"/>
  <c r="M235" i="16"/>
  <c r="L235" i="16"/>
  <c r="K235" i="16"/>
  <c r="J235" i="16"/>
  <c r="I235" i="16"/>
  <c r="H235" i="16"/>
  <c r="G235" i="16"/>
  <c r="F235" i="16"/>
  <c r="E235" i="16"/>
  <c r="D235" i="16"/>
  <c r="AA234" i="16"/>
  <c r="AQ234" i="16" s="1"/>
  <c r="Z234" i="16"/>
  <c r="AP234" i="16" s="1"/>
  <c r="AA233" i="16"/>
  <c r="AQ233" i="16" s="1"/>
  <c r="Z233" i="16"/>
  <c r="AP233" i="16" s="1"/>
  <c r="AA232" i="16"/>
  <c r="AQ232" i="16" s="1"/>
  <c r="Z232" i="16"/>
  <c r="AP232" i="16" s="1"/>
  <c r="AA231" i="16"/>
  <c r="AQ231" i="16" s="1"/>
  <c r="Z231" i="16"/>
  <c r="AP231" i="16" s="1"/>
  <c r="AA230" i="16"/>
  <c r="AQ230" i="16" s="1"/>
  <c r="Z230" i="16"/>
  <c r="AP230" i="16" s="1"/>
  <c r="AA229" i="16"/>
  <c r="AQ229" i="16" s="1"/>
  <c r="Z229" i="16"/>
  <c r="AP229" i="16" s="1"/>
  <c r="AA228" i="16"/>
  <c r="AQ228" i="16" s="1"/>
  <c r="Z228" i="16"/>
  <c r="AP228" i="16" s="1"/>
  <c r="AA227" i="16"/>
  <c r="AQ227" i="16" s="1"/>
  <c r="Z227" i="16"/>
  <c r="AP227" i="16" s="1"/>
  <c r="AA226" i="16"/>
  <c r="AQ226" i="16" s="1"/>
  <c r="Z226" i="16"/>
  <c r="AP226" i="16" s="1"/>
  <c r="AA225" i="16"/>
  <c r="AQ225" i="16" s="1"/>
  <c r="Z225" i="16"/>
  <c r="AP225" i="16" s="1"/>
  <c r="AA224" i="16"/>
  <c r="AQ224" i="16" s="1"/>
  <c r="Z224" i="16"/>
  <c r="AP224" i="16" s="1"/>
  <c r="AA223" i="16"/>
  <c r="AQ223" i="16" s="1"/>
  <c r="Z223" i="16"/>
  <c r="AP223" i="16" s="1"/>
  <c r="AE235" i="16"/>
  <c r="AA222" i="16"/>
  <c r="AQ222" i="16" s="1"/>
  <c r="Z222" i="16"/>
  <c r="AP222" i="16" s="1"/>
  <c r="AA221" i="16"/>
  <c r="AQ221" i="16" s="1"/>
  <c r="Z221" i="16"/>
  <c r="AP221" i="16" s="1"/>
  <c r="AA220" i="16"/>
  <c r="AQ220" i="16" s="1"/>
  <c r="Z220" i="16"/>
  <c r="AP220" i="16" s="1"/>
  <c r="AA219" i="16"/>
  <c r="AQ219" i="16" s="1"/>
  <c r="Z219" i="16"/>
  <c r="AP219" i="16" s="1"/>
  <c r="AA218" i="16"/>
  <c r="AQ218" i="16" s="1"/>
  <c r="Z218" i="16"/>
  <c r="AP218" i="16" s="1"/>
  <c r="AA217" i="16"/>
  <c r="AQ217" i="16" s="1"/>
  <c r="Z217" i="16"/>
  <c r="AP217" i="16" s="1"/>
  <c r="AA216" i="16"/>
  <c r="AQ216" i="16" s="1"/>
  <c r="Z216" i="16"/>
  <c r="AP216" i="16" s="1"/>
  <c r="AA215" i="16"/>
  <c r="AQ215" i="16" s="1"/>
  <c r="Z215" i="16"/>
  <c r="AP215" i="16" s="1"/>
  <c r="AA214" i="16"/>
  <c r="AQ214" i="16" s="1"/>
  <c r="Z214" i="16"/>
  <c r="AP214" i="16" s="1"/>
  <c r="AA213" i="16"/>
  <c r="AQ213" i="16" s="1"/>
  <c r="Z213" i="16"/>
  <c r="AP213" i="16" s="1"/>
  <c r="AA212" i="16"/>
  <c r="AQ212" i="16" s="1"/>
  <c r="Z212" i="16"/>
  <c r="AO211" i="16"/>
  <c r="AN211" i="16"/>
  <c r="AM211" i="16"/>
  <c r="AL211" i="16"/>
  <c r="AK211" i="16"/>
  <c r="AJ211" i="16"/>
  <c r="AI211" i="16"/>
  <c r="AH211" i="16"/>
  <c r="AG211" i="16"/>
  <c r="AF211" i="16"/>
  <c r="AD211" i="16"/>
  <c r="AC211" i="16"/>
  <c r="AB211" i="16"/>
  <c r="Y211" i="16"/>
  <c r="X211" i="16"/>
  <c r="W211" i="16"/>
  <c r="V211" i="16"/>
  <c r="U211" i="16"/>
  <c r="T211" i="16"/>
  <c r="S211" i="16"/>
  <c r="R211" i="16"/>
  <c r="Q211" i="16"/>
  <c r="P211" i="16"/>
  <c r="O211" i="16"/>
  <c r="N211" i="16"/>
  <c r="M211" i="16"/>
  <c r="L211" i="16"/>
  <c r="K211" i="16"/>
  <c r="J211" i="16"/>
  <c r="I211" i="16"/>
  <c r="H211" i="16"/>
  <c r="G211" i="16"/>
  <c r="F211" i="16"/>
  <c r="E211" i="16"/>
  <c r="AA210" i="16"/>
  <c r="AQ210" i="16" s="1"/>
  <c r="Z210" i="16"/>
  <c r="AP210" i="16" s="1"/>
  <c r="AA209" i="16"/>
  <c r="AQ209" i="16" s="1"/>
  <c r="Z209" i="16"/>
  <c r="AP209" i="16" s="1"/>
  <c r="AA208" i="16"/>
  <c r="AQ208" i="16" s="1"/>
  <c r="Z208" i="16"/>
  <c r="AP208" i="16" s="1"/>
  <c r="AA207" i="16"/>
  <c r="AQ207" i="16" s="1"/>
  <c r="Z207" i="16"/>
  <c r="AP207" i="16" s="1"/>
  <c r="AA206" i="16"/>
  <c r="AQ206" i="16" s="1"/>
  <c r="Z206" i="16"/>
  <c r="AP206" i="16" s="1"/>
  <c r="AA205" i="16"/>
  <c r="AQ205" i="16" s="1"/>
  <c r="Z205" i="16"/>
  <c r="AP205" i="16" s="1"/>
  <c r="AA204" i="16"/>
  <c r="AQ204" i="16" s="1"/>
  <c r="Z204" i="16"/>
  <c r="AP204" i="16" s="1"/>
  <c r="AA203" i="16"/>
  <c r="AQ203" i="16" s="1"/>
  <c r="Z203" i="16"/>
  <c r="AP203" i="16" s="1"/>
  <c r="AA202" i="16"/>
  <c r="AQ202" i="16" s="1"/>
  <c r="Z202" i="16"/>
  <c r="AP202" i="16" s="1"/>
  <c r="AA201" i="16"/>
  <c r="AQ201" i="16" s="1"/>
  <c r="Z201" i="16"/>
  <c r="AP201" i="16" s="1"/>
  <c r="AA200" i="16"/>
  <c r="AQ200" i="16" s="1"/>
  <c r="Z200" i="16"/>
  <c r="AP200" i="16" s="1"/>
  <c r="AA199" i="16"/>
  <c r="AQ199" i="16" s="1"/>
  <c r="D199" i="16"/>
  <c r="AA198" i="16"/>
  <c r="AQ198" i="16" s="1"/>
  <c r="Z198" i="16"/>
  <c r="AP198" i="16" s="1"/>
  <c r="AA197" i="16"/>
  <c r="AQ197" i="16" s="1"/>
  <c r="Z197" i="16"/>
  <c r="AP197" i="16" s="1"/>
  <c r="AA196" i="16"/>
  <c r="AQ196" i="16" s="1"/>
  <c r="Z196" i="16"/>
  <c r="AP196" i="16" s="1"/>
  <c r="AA195" i="16"/>
  <c r="AQ195" i="16" s="1"/>
  <c r="Z195" i="16"/>
  <c r="AP195" i="16" s="1"/>
  <c r="AA194" i="16"/>
  <c r="AQ194" i="16" s="1"/>
  <c r="D194" i="16"/>
  <c r="AA193" i="16"/>
  <c r="AQ193" i="16" s="1"/>
  <c r="Z193" i="16"/>
  <c r="AP193" i="16" s="1"/>
  <c r="AA192" i="16"/>
  <c r="AQ192" i="16" s="1"/>
  <c r="Z192" i="16"/>
  <c r="AP192" i="16" s="1"/>
  <c r="AA191" i="16"/>
  <c r="AQ191" i="16" s="1"/>
  <c r="Z191" i="16"/>
  <c r="AP191" i="16" s="1"/>
  <c r="AA190" i="16"/>
  <c r="AQ190" i="16" s="1"/>
  <c r="Z190" i="16"/>
  <c r="AP190" i="16" s="1"/>
  <c r="AA189" i="16"/>
  <c r="AQ189" i="16" s="1"/>
  <c r="Z189" i="16"/>
  <c r="AP189" i="16" s="1"/>
  <c r="AE211" i="16"/>
  <c r="AA188" i="16"/>
  <c r="AQ188" i="16" s="1"/>
  <c r="Z188" i="16"/>
  <c r="AP188" i="16" s="1"/>
  <c r="AA187" i="16"/>
  <c r="AQ187" i="16" s="1"/>
  <c r="Z187" i="16"/>
  <c r="AA186" i="16"/>
  <c r="AQ186" i="16" s="1"/>
  <c r="Z186" i="16"/>
  <c r="AP186" i="16" s="1"/>
  <c r="AO185" i="16"/>
  <c r="AN185" i="16"/>
  <c r="AM185" i="16"/>
  <c r="AL185" i="16"/>
  <c r="AK185" i="16"/>
  <c r="AJ185" i="16"/>
  <c r="AI185" i="16"/>
  <c r="AH185" i="16"/>
  <c r="AG185" i="16"/>
  <c r="AF185" i="16"/>
  <c r="AD185" i="16"/>
  <c r="AC185" i="16"/>
  <c r="AB185" i="16"/>
  <c r="Y185" i="16"/>
  <c r="X185" i="16"/>
  <c r="W185" i="16"/>
  <c r="V185" i="16"/>
  <c r="U185" i="16"/>
  <c r="T185" i="16"/>
  <c r="S185" i="16"/>
  <c r="R185" i="16"/>
  <c r="Q185" i="16"/>
  <c r="P185" i="16"/>
  <c r="O185" i="16"/>
  <c r="N185" i="16"/>
  <c r="M185" i="16"/>
  <c r="L185" i="16"/>
  <c r="K185" i="16"/>
  <c r="J185" i="16"/>
  <c r="I185" i="16"/>
  <c r="H185" i="16"/>
  <c r="G185" i="16"/>
  <c r="F185" i="16"/>
  <c r="E185" i="16"/>
  <c r="AA184" i="16"/>
  <c r="AQ184" i="16" s="1"/>
  <c r="Z184" i="16"/>
  <c r="AP184" i="16" s="1"/>
  <c r="AA183" i="16"/>
  <c r="AQ183" i="16" s="1"/>
  <c r="Z183" i="16"/>
  <c r="AP183" i="16" s="1"/>
  <c r="AA182" i="16"/>
  <c r="AQ182" i="16" s="1"/>
  <c r="Z182" i="16"/>
  <c r="AP182" i="16" s="1"/>
  <c r="AA181" i="16"/>
  <c r="AQ181" i="16" s="1"/>
  <c r="Z181" i="16"/>
  <c r="AP181" i="16" s="1"/>
  <c r="AA180" i="16"/>
  <c r="AQ180" i="16" s="1"/>
  <c r="Z180" i="16"/>
  <c r="AP180" i="16" s="1"/>
  <c r="AA179" i="16"/>
  <c r="AQ179" i="16" s="1"/>
  <c r="Z179" i="16"/>
  <c r="AP179" i="16" s="1"/>
  <c r="AA178" i="16"/>
  <c r="AQ178" i="16" s="1"/>
  <c r="Z178" i="16"/>
  <c r="AP178" i="16" s="1"/>
  <c r="AA177" i="16"/>
  <c r="AQ177" i="16" s="1"/>
  <c r="Z177" i="16"/>
  <c r="AP177" i="16" s="1"/>
  <c r="AA176" i="16"/>
  <c r="AQ176" i="16" s="1"/>
  <c r="Z176" i="16"/>
  <c r="AP176" i="16" s="1"/>
  <c r="AA175" i="16"/>
  <c r="AQ175" i="16" s="1"/>
  <c r="Z175" i="16"/>
  <c r="AP175" i="16" s="1"/>
  <c r="AA174" i="16"/>
  <c r="AQ174" i="16" s="1"/>
  <c r="Z174" i="16"/>
  <c r="AP174" i="16" s="1"/>
  <c r="AA173" i="16"/>
  <c r="AQ173" i="16" s="1"/>
  <c r="Z173" i="16"/>
  <c r="AP173" i="16" s="1"/>
  <c r="AA172" i="16"/>
  <c r="AQ172" i="16" s="1"/>
  <c r="Z172" i="16"/>
  <c r="AP172" i="16" s="1"/>
  <c r="AA171" i="16"/>
  <c r="AQ171" i="16" s="1"/>
  <c r="Z171" i="16"/>
  <c r="AP171" i="16" s="1"/>
  <c r="AA170" i="16"/>
  <c r="AQ170" i="16" s="1"/>
  <c r="Z170" i="16"/>
  <c r="AP170" i="16" s="1"/>
  <c r="AA169" i="16"/>
  <c r="AQ169" i="16" s="1"/>
  <c r="Z169" i="16"/>
  <c r="AP169" i="16" s="1"/>
  <c r="AA168" i="16"/>
  <c r="AQ168" i="16" s="1"/>
  <c r="Z168" i="16"/>
  <c r="AP168" i="16" s="1"/>
  <c r="AA167" i="16"/>
  <c r="AQ167" i="16" s="1"/>
  <c r="Z167" i="16"/>
  <c r="AP167" i="16" s="1"/>
  <c r="AA166" i="16"/>
  <c r="AQ166" i="16" s="1"/>
  <c r="Z166" i="16"/>
  <c r="AP166" i="16" s="1"/>
  <c r="AA165" i="16"/>
  <c r="AQ165" i="16" s="1"/>
  <c r="D165" i="16"/>
  <c r="G34" i="9" s="1"/>
  <c r="AA164" i="16"/>
  <c r="AQ164" i="16" s="1"/>
  <c r="Z164" i="16"/>
  <c r="AP164" i="16" s="1"/>
  <c r="AA163" i="16"/>
  <c r="AQ163" i="16" s="1"/>
  <c r="Z163" i="16"/>
  <c r="AP163" i="16" s="1"/>
  <c r="AA162" i="16"/>
  <c r="AQ162" i="16" s="1"/>
  <c r="Z162" i="16"/>
  <c r="AP162" i="16" s="1"/>
  <c r="AA161" i="16"/>
  <c r="AQ161" i="16" s="1"/>
  <c r="Z161" i="16"/>
  <c r="AP161" i="16" s="1"/>
  <c r="AE185" i="16"/>
  <c r="AA160" i="16"/>
  <c r="AQ160" i="16" s="1"/>
  <c r="Z160" i="16"/>
  <c r="AP160" i="16" s="1"/>
  <c r="AA159" i="16"/>
  <c r="AQ159" i="16" s="1"/>
  <c r="Z159" i="16"/>
  <c r="AP159" i="16" s="1"/>
  <c r="AA158" i="16"/>
  <c r="AQ158" i="16" s="1"/>
  <c r="Z158" i="16"/>
  <c r="AP158" i="16" s="1"/>
  <c r="AA157" i="16"/>
  <c r="Z157" i="16"/>
  <c r="AO156" i="16"/>
  <c r="AN156" i="16"/>
  <c r="AM156" i="16"/>
  <c r="AL156" i="16"/>
  <c r="AK156" i="16"/>
  <c r="AJ156" i="16"/>
  <c r="AI156" i="16"/>
  <c r="AH156" i="16"/>
  <c r="AG156" i="16"/>
  <c r="AD156" i="16"/>
  <c r="AC156" i="16"/>
  <c r="AB156" i="16"/>
  <c r="Y156" i="16"/>
  <c r="X156" i="16"/>
  <c r="W156" i="16"/>
  <c r="V156" i="16"/>
  <c r="U156" i="16"/>
  <c r="T156" i="16"/>
  <c r="S156" i="16"/>
  <c r="R156" i="16"/>
  <c r="Q156" i="16"/>
  <c r="P156" i="16"/>
  <c r="O156" i="16"/>
  <c r="N156" i="16"/>
  <c r="M156" i="16"/>
  <c r="L156" i="16"/>
  <c r="K156" i="16"/>
  <c r="J156" i="16"/>
  <c r="I156" i="16"/>
  <c r="H156" i="16"/>
  <c r="G156" i="16"/>
  <c r="F156" i="16"/>
  <c r="E156" i="16"/>
  <c r="AA155" i="16"/>
  <c r="AQ155" i="16" s="1"/>
  <c r="Z155" i="16"/>
  <c r="AP155" i="16" s="1"/>
  <c r="AA154" i="16"/>
  <c r="AQ154" i="16" s="1"/>
  <c r="Z154" i="16"/>
  <c r="AP154" i="16" s="1"/>
  <c r="AA153" i="16"/>
  <c r="AQ153" i="16" s="1"/>
  <c r="Z153" i="16"/>
  <c r="AP153" i="16" s="1"/>
  <c r="AA152" i="16"/>
  <c r="AQ152" i="16" s="1"/>
  <c r="Z152" i="16"/>
  <c r="AP152" i="16" s="1"/>
  <c r="AA151" i="16"/>
  <c r="AQ151" i="16" s="1"/>
  <c r="Z151" i="16"/>
  <c r="AP151" i="16" s="1"/>
  <c r="AA150" i="16"/>
  <c r="AQ150" i="16" s="1"/>
  <c r="Z150" i="16"/>
  <c r="AP150" i="16" s="1"/>
  <c r="AA149" i="16"/>
  <c r="AQ149" i="16" s="1"/>
  <c r="Z149" i="16"/>
  <c r="AP149" i="16" s="1"/>
  <c r="AA148" i="16"/>
  <c r="AQ148" i="16" s="1"/>
  <c r="D148" i="16"/>
  <c r="AA147" i="16"/>
  <c r="AQ147" i="16" s="1"/>
  <c r="Z147" i="16"/>
  <c r="AP147" i="16" s="1"/>
  <c r="AA146" i="16"/>
  <c r="AQ146" i="16" s="1"/>
  <c r="Z146" i="16"/>
  <c r="AP146" i="16" s="1"/>
  <c r="AA145" i="16"/>
  <c r="AQ145" i="16" s="1"/>
  <c r="Z145" i="16"/>
  <c r="AP145" i="16" s="1"/>
  <c r="AA144" i="16"/>
  <c r="AQ144" i="16" s="1"/>
  <c r="D144" i="16"/>
  <c r="AA143" i="16"/>
  <c r="AQ143" i="16" s="1"/>
  <c r="Z143" i="16"/>
  <c r="AP143" i="16" s="1"/>
  <c r="AA142" i="16"/>
  <c r="AQ142" i="16" s="1"/>
  <c r="Z142" i="16"/>
  <c r="AP142" i="16" s="1"/>
  <c r="AA141" i="16"/>
  <c r="AQ141" i="16" s="1"/>
  <c r="Z141" i="16"/>
  <c r="AP141" i="16" s="1"/>
  <c r="AA140" i="16"/>
  <c r="AQ140" i="16" s="1"/>
  <c r="Z140" i="16"/>
  <c r="AP140" i="16" s="1"/>
  <c r="AE156" i="16"/>
  <c r="AA139" i="16"/>
  <c r="AQ139" i="16" s="1"/>
  <c r="Z139" i="16"/>
  <c r="AP139" i="16" s="1"/>
  <c r="AA138" i="16"/>
  <c r="AQ138" i="16" s="1"/>
  <c r="Z138" i="16"/>
  <c r="AP138" i="16" s="1"/>
  <c r="AF137" i="16"/>
  <c r="AF156" i="16" s="1"/>
  <c r="AA137" i="16"/>
  <c r="AQ137" i="16" s="1"/>
  <c r="Z137" i="16"/>
  <c r="AA136" i="16"/>
  <c r="AQ136" i="16" s="1"/>
  <c r="Z136" i="16"/>
  <c r="AP136" i="16" s="1"/>
  <c r="AO135" i="16"/>
  <c r="AN135" i="16"/>
  <c r="AM135" i="16"/>
  <c r="AL135" i="16"/>
  <c r="AK135" i="16"/>
  <c r="AJ135" i="16"/>
  <c r="AI135" i="16"/>
  <c r="AH135" i="16"/>
  <c r="AG135" i="16"/>
  <c r="AF135" i="16"/>
  <c r="AD135" i="16"/>
  <c r="AC135" i="16"/>
  <c r="AB135" i="16"/>
  <c r="Y135" i="16"/>
  <c r="X135" i="16"/>
  <c r="W135" i="16"/>
  <c r="V135" i="16"/>
  <c r="U135" i="16"/>
  <c r="T135" i="16"/>
  <c r="S135" i="16"/>
  <c r="R135" i="16"/>
  <c r="Q135" i="16"/>
  <c r="P135" i="16"/>
  <c r="O135" i="16"/>
  <c r="N135" i="16"/>
  <c r="M135" i="16"/>
  <c r="L135" i="16"/>
  <c r="K135" i="16"/>
  <c r="J135" i="16"/>
  <c r="I135" i="16"/>
  <c r="H135" i="16"/>
  <c r="G135" i="16"/>
  <c r="F135" i="16"/>
  <c r="E135" i="16"/>
  <c r="AA134" i="16"/>
  <c r="AQ134" i="16" s="1"/>
  <c r="Z134" i="16"/>
  <c r="AP134" i="16" s="1"/>
  <c r="AA133" i="16"/>
  <c r="AQ133" i="16" s="1"/>
  <c r="Z133" i="16"/>
  <c r="AP133" i="16" s="1"/>
  <c r="AA132" i="16"/>
  <c r="AQ132" i="16" s="1"/>
  <c r="Z132" i="16"/>
  <c r="AP132" i="16" s="1"/>
  <c r="AA131" i="16"/>
  <c r="AQ131" i="16" s="1"/>
  <c r="Z131" i="16"/>
  <c r="AP131" i="16" s="1"/>
  <c r="AE135" i="16"/>
  <c r="AA130" i="16"/>
  <c r="AQ130" i="16" s="1"/>
  <c r="Z130" i="16"/>
  <c r="AP130" i="16" s="1"/>
  <c r="AA129" i="16"/>
  <c r="AQ129" i="16" s="1"/>
  <c r="Z129" i="16"/>
  <c r="AP129" i="16" s="1"/>
  <c r="AA128" i="16"/>
  <c r="AQ128" i="16" s="1"/>
  <c r="Z128" i="16"/>
  <c r="AP128" i="16" s="1"/>
  <c r="AA127" i="16"/>
  <c r="AQ127" i="16" s="1"/>
  <c r="Z127" i="16"/>
  <c r="AP127" i="16" s="1"/>
  <c r="AA126" i="16"/>
  <c r="AQ126" i="16" s="1"/>
  <c r="Z126" i="16"/>
  <c r="AP126" i="16" s="1"/>
  <c r="AA125" i="16"/>
  <c r="AQ125" i="16" s="1"/>
  <c r="Z125" i="16"/>
  <c r="AP125" i="16" s="1"/>
  <c r="AA124" i="16"/>
  <c r="AQ124" i="16" s="1"/>
  <c r="Z124" i="16"/>
  <c r="AP124" i="16" s="1"/>
  <c r="AA123" i="16"/>
  <c r="AQ123" i="16" s="1"/>
  <c r="Z123" i="16"/>
  <c r="AP123" i="16" s="1"/>
  <c r="AA122" i="16"/>
  <c r="AQ122" i="16" s="1"/>
  <c r="Z122" i="16"/>
  <c r="AP122" i="16" s="1"/>
  <c r="AA121" i="16"/>
  <c r="AQ121" i="16" s="1"/>
  <c r="Z121" i="16"/>
  <c r="AP121" i="16" s="1"/>
  <c r="AA120" i="16"/>
  <c r="AQ120" i="16" s="1"/>
  <c r="Z120" i="16"/>
  <c r="AP120" i="16" s="1"/>
  <c r="AA119" i="16"/>
  <c r="AQ119" i="16" s="1"/>
  <c r="Z119" i="16"/>
  <c r="AP119" i="16" s="1"/>
  <c r="AA118" i="16"/>
  <c r="AQ118" i="16" s="1"/>
  <c r="D118" i="16"/>
  <c r="AT118" i="16" s="1"/>
  <c r="AA117" i="16"/>
  <c r="AQ117" i="16" s="1"/>
  <c r="Z117" i="16"/>
  <c r="AP117" i="16" s="1"/>
  <c r="AA116" i="16"/>
  <c r="AQ116" i="16" s="1"/>
  <c r="Z116" i="16"/>
  <c r="AP116" i="16" s="1"/>
  <c r="AA115" i="16"/>
  <c r="AQ115" i="16" s="1"/>
  <c r="Z115" i="16"/>
  <c r="AP115" i="16" s="1"/>
  <c r="AA114" i="16"/>
  <c r="AQ114" i="16" s="1"/>
  <c r="D114" i="16"/>
  <c r="G32" i="9" s="1"/>
  <c r="AA113" i="16"/>
  <c r="AQ113" i="16" s="1"/>
  <c r="Z113" i="16"/>
  <c r="AP113" i="16" s="1"/>
  <c r="AA112" i="16"/>
  <c r="AQ112" i="16" s="1"/>
  <c r="Z112" i="16"/>
  <c r="AP112" i="16" s="1"/>
  <c r="AA111" i="16"/>
  <c r="AQ111" i="16" s="1"/>
  <c r="Z111" i="16"/>
  <c r="AP111" i="16" s="1"/>
  <c r="AA110" i="16"/>
  <c r="AQ110" i="16" s="1"/>
  <c r="Z110" i="16"/>
  <c r="AP110" i="16" s="1"/>
  <c r="AA109" i="16"/>
  <c r="AQ109" i="16" s="1"/>
  <c r="Z109" i="16"/>
  <c r="AP109" i="16" s="1"/>
  <c r="AA108" i="16"/>
  <c r="AQ108" i="16" s="1"/>
  <c r="Z108" i="16"/>
  <c r="AP108" i="16" s="1"/>
  <c r="AA107" i="16"/>
  <c r="AQ107" i="16" s="1"/>
  <c r="Z107" i="16"/>
  <c r="AP107" i="16" s="1"/>
  <c r="AA106" i="16"/>
  <c r="AQ106" i="16" s="1"/>
  <c r="Z106" i="16"/>
  <c r="AP106" i="16" s="1"/>
  <c r="AA105" i="16"/>
  <c r="AQ105" i="16" s="1"/>
  <c r="Z105" i="16"/>
  <c r="AP105" i="16" s="1"/>
  <c r="AA104" i="16"/>
  <c r="AQ104" i="16" s="1"/>
  <c r="Z104" i="16"/>
  <c r="AP104" i="16" s="1"/>
  <c r="AO103" i="16"/>
  <c r="AN103" i="16"/>
  <c r="AM103" i="16"/>
  <c r="AL103" i="16"/>
  <c r="AK103" i="16"/>
  <c r="AJ103" i="16"/>
  <c r="AI103" i="16"/>
  <c r="AG103" i="16"/>
  <c r="AF103" i="16"/>
  <c r="AD103" i="16"/>
  <c r="AC103" i="16"/>
  <c r="AB103" i="16"/>
  <c r="Y103" i="16"/>
  <c r="X103" i="16"/>
  <c r="W103" i="16"/>
  <c r="V103" i="16"/>
  <c r="U103" i="16"/>
  <c r="T103" i="16"/>
  <c r="S103" i="16"/>
  <c r="R103" i="16"/>
  <c r="Q103" i="16"/>
  <c r="P103" i="16"/>
  <c r="O103" i="16"/>
  <c r="N103" i="16"/>
  <c r="M103" i="16"/>
  <c r="L103" i="16"/>
  <c r="K103" i="16"/>
  <c r="J103" i="16"/>
  <c r="I103" i="16"/>
  <c r="H103" i="16"/>
  <c r="G103" i="16"/>
  <c r="F103" i="16"/>
  <c r="AA102" i="16"/>
  <c r="AQ102" i="16" s="1"/>
  <c r="Z102" i="16"/>
  <c r="AP102" i="16" s="1"/>
  <c r="AA101" i="16"/>
  <c r="AQ101" i="16" s="1"/>
  <c r="Z101" i="16"/>
  <c r="AP101" i="16" s="1"/>
  <c r="AA100" i="16"/>
  <c r="AQ100" i="16" s="1"/>
  <c r="Z100" i="16"/>
  <c r="AP100" i="16" s="1"/>
  <c r="AA99" i="16"/>
  <c r="AQ99" i="16" s="1"/>
  <c r="Z99" i="16"/>
  <c r="AP99" i="16" s="1"/>
  <c r="AA98" i="16"/>
  <c r="AQ98" i="16" s="1"/>
  <c r="Z98" i="16"/>
  <c r="AP98" i="16" s="1"/>
  <c r="AA97" i="16"/>
  <c r="AQ97" i="16" s="1"/>
  <c r="Z97" i="16"/>
  <c r="AP97" i="16" s="1"/>
  <c r="E103" i="16"/>
  <c r="AA96" i="16"/>
  <c r="AQ96" i="16" s="1"/>
  <c r="Z96" i="16"/>
  <c r="AP96" i="16" s="1"/>
  <c r="AA95" i="16"/>
  <c r="AQ95" i="16" s="1"/>
  <c r="Z95" i="16"/>
  <c r="AP95" i="16" s="1"/>
  <c r="AA94" i="16"/>
  <c r="AQ94" i="16" s="1"/>
  <c r="Z94" i="16"/>
  <c r="AP94" i="16" s="1"/>
  <c r="AA93" i="16"/>
  <c r="AQ93" i="16" s="1"/>
  <c r="Z93" i="16"/>
  <c r="AP93" i="16" s="1"/>
  <c r="AA92" i="16"/>
  <c r="AQ92" i="16" s="1"/>
  <c r="Z92" i="16"/>
  <c r="AP92" i="16" s="1"/>
  <c r="AA91" i="16"/>
  <c r="AQ91" i="16" s="1"/>
  <c r="Z91" i="16"/>
  <c r="AP91" i="16" s="1"/>
  <c r="AA90" i="16"/>
  <c r="AQ90" i="16" s="1"/>
  <c r="Z90" i="16"/>
  <c r="AP90" i="16" s="1"/>
  <c r="AA89" i="16"/>
  <c r="AQ89" i="16" s="1"/>
  <c r="Z89" i="16"/>
  <c r="AP89" i="16" s="1"/>
  <c r="AA88" i="16"/>
  <c r="AQ88" i="16" s="1"/>
  <c r="D88" i="16"/>
  <c r="G31" i="9" s="1"/>
  <c r="AA87" i="16"/>
  <c r="AQ87" i="16" s="1"/>
  <c r="Z87" i="16"/>
  <c r="AP87" i="16" s="1"/>
  <c r="AA86" i="16"/>
  <c r="AQ86" i="16" s="1"/>
  <c r="Z86" i="16"/>
  <c r="AP86" i="16" s="1"/>
  <c r="AA85" i="16"/>
  <c r="AQ85" i="16" s="1"/>
  <c r="Z85" i="16"/>
  <c r="AP85" i="16" s="1"/>
  <c r="AA84" i="16"/>
  <c r="AQ84" i="16" s="1"/>
  <c r="Z84" i="16"/>
  <c r="AP84" i="16" s="1"/>
  <c r="AH83" i="16"/>
  <c r="AA83" i="16"/>
  <c r="AQ83" i="16" s="1"/>
  <c r="Z83" i="16"/>
  <c r="AH82" i="16"/>
  <c r="AA82" i="16"/>
  <c r="AQ82" i="16" s="1"/>
  <c r="Z82" i="16"/>
  <c r="AA81" i="16"/>
  <c r="AQ81" i="16" s="1"/>
  <c r="Z81" i="16"/>
  <c r="AP81" i="16" s="1"/>
  <c r="AA80" i="16"/>
  <c r="AQ80" i="16" s="1"/>
  <c r="Z80" i="16"/>
  <c r="AP80" i="16" s="1"/>
  <c r="AA79" i="16"/>
  <c r="AQ79" i="16" s="1"/>
  <c r="Z79" i="16"/>
  <c r="AP79" i="16" s="1"/>
  <c r="AO78" i="16"/>
  <c r="AN78" i="16"/>
  <c r="AM78" i="16"/>
  <c r="AL78" i="16"/>
  <c r="AK78" i="16"/>
  <c r="AJ78" i="16"/>
  <c r="AI78" i="16"/>
  <c r="AH78" i="16"/>
  <c r="AG78" i="16"/>
  <c r="AE78" i="16"/>
  <c r="AC78" i="16"/>
  <c r="AB78" i="16"/>
  <c r="Y78" i="16"/>
  <c r="X78" i="16"/>
  <c r="W78" i="16"/>
  <c r="V78" i="16"/>
  <c r="U78" i="16"/>
  <c r="T78" i="16"/>
  <c r="S78" i="16"/>
  <c r="Q78" i="16"/>
  <c r="P78" i="16"/>
  <c r="O78" i="16"/>
  <c r="M78" i="16"/>
  <c r="K78" i="16"/>
  <c r="I78" i="16"/>
  <c r="G78" i="16"/>
  <c r="E78" i="16"/>
  <c r="AA77" i="16"/>
  <c r="AQ77" i="16" s="1"/>
  <c r="Z77" i="16"/>
  <c r="AP77" i="16" s="1"/>
  <c r="AA76" i="16"/>
  <c r="AQ76" i="16" s="1"/>
  <c r="Z76" i="16"/>
  <c r="AP76" i="16" s="1"/>
  <c r="AA75" i="16"/>
  <c r="AQ75" i="16" s="1"/>
  <c r="Z75" i="16"/>
  <c r="AP75" i="16" s="1"/>
  <c r="AA74" i="16"/>
  <c r="AQ74" i="16" s="1"/>
  <c r="Z74" i="16"/>
  <c r="AP74" i="16" s="1"/>
  <c r="AA73" i="16"/>
  <c r="AQ73" i="16" s="1"/>
  <c r="Z73" i="16"/>
  <c r="AP73" i="16" s="1"/>
  <c r="AD72" i="16"/>
  <c r="AA72" i="16"/>
  <c r="AQ72" i="16" s="1"/>
  <c r="Z72" i="16"/>
  <c r="AA71" i="16"/>
  <c r="AQ71" i="16" s="1"/>
  <c r="Z71" i="16"/>
  <c r="AP71" i="16" s="1"/>
  <c r="AA70" i="16"/>
  <c r="AQ70" i="16" s="1"/>
  <c r="Z70" i="16"/>
  <c r="AP70" i="16" s="1"/>
  <c r="AA69" i="16"/>
  <c r="AQ69" i="16" s="1"/>
  <c r="Z69" i="16"/>
  <c r="AP69" i="16" s="1"/>
  <c r="AA68" i="16"/>
  <c r="AQ68" i="16" s="1"/>
  <c r="Z68" i="16"/>
  <c r="AP68" i="16" s="1"/>
  <c r="AA67" i="16"/>
  <c r="AQ67" i="16" s="1"/>
  <c r="Z67" i="16"/>
  <c r="AP67" i="16" s="1"/>
  <c r="AA66" i="16"/>
  <c r="AQ66" i="16" s="1"/>
  <c r="Z66" i="16"/>
  <c r="AP66" i="16" s="1"/>
  <c r="AA65" i="16"/>
  <c r="AQ65" i="16" s="1"/>
  <c r="D65" i="16"/>
  <c r="G30" i="9" s="1"/>
  <c r="AA64" i="16"/>
  <c r="AQ64" i="16" s="1"/>
  <c r="Z64" i="16"/>
  <c r="AP64" i="16" s="1"/>
  <c r="AA63" i="16"/>
  <c r="AQ63" i="16" s="1"/>
  <c r="Z63" i="16"/>
  <c r="AP63" i="16" s="1"/>
  <c r="AA62" i="16"/>
  <c r="AQ62" i="16" s="1"/>
  <c r="Z62" i="16"/>
  <c r="AP62" i="16" s="1"/>
  <c r="AA61" i="16"/>
  <c r="AQ61" i="16" s="1"/>
  <c r="Z61" i="16"/>
  <c r="AP61" i="16" s="1"/>
  <c r="AA60" i="16"/>
  <c r="AQ60" i="16" s="1"/>
  <c r="Z60" i="16"/>
  <c r="AP60" i="16" s="1"/>
  <c r="AF59" i="16"/>
  <c r="AF78" i="16" s="1"/>
  <c r="AD59" i="16"/>
  <c r="AA59" i="16"/>
  <c r="AQ59" i="16" s="1"/>
  <c r="R59" i="16"/>
  <c r="R78" i="16" s="1"/>
  <c r="N59" i="16"/>
  <c r="N78" i="16" s="1"/>
  <c r="L59" i="16"/>
  <c r="L78" i="16" s="1"/>
  <c r="J59" i="16"/>
  <c r="J78" i="16" s="1"/>
  <c r="H59" i="16"/>
  <c r="H78" i="16" s="1"/>
  <c r="F59" i="16"/>
  <c r="F78" i="16" s="1"/>
  <c r="AO58" i="16"/>
  <c r="AN58" i="16"/>
  <c r="AM58" i="16"/>
  <c r="AL58" i="16"/>
  <c r="AK58" i="16"/>
  <c r="AJ58" i="16"/>
  <c r="AI58" i="16"/>
  <c r="AH58" i="16"/>
  <c r="AG58" i="16"/>
  <c r="AF58" i="16"/>
  <c r="AE58" i="16"/>
  <c r="AD58" i="16"/>
  <c r="AC58" i="16"/>
  <c r="AB58" i="16"/>
  <c r="Y58" i="16"/>
  <c r="X58" i="16"/>
  <c r="W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AA57" i="16"/>
  <c r="AQ57" i="16" s="1"/>
  <c r="Z57" i="16"/>
  <c r="AP57" i="16" s="1"/>
  <c r="AA56" i="16"/>
  <c r="AQ56" i="16" s="1"/>
  <c r="Z56" i="16"/>
  <c r="AP56" i="16" s="1"/>
  <c r="AA55" i="16"/>
  <c r="AQ55" i="16" s="1"/>
  <c r="Z55" i="16"/>
  <c r="AP55" i="16" s="1"/>
  <c r="AA54" i="16"/>
  <c r="AQ54" i="16" s="1"/>
  <c r="Z54" i="16"/>
  <c r="AP54" i="16" s="1"/>
  <c r="AA53" i="16"/>
  <c r="AQ53" i="16" s="1"/>
  <c r="V53" i="16"/>
  <c r="AA52" i="16"/>
  <c r="AQ52" i="16" s="1"/>
  <c r="Z52" i="16"/>
  <c r="AP52" i="16" s="1"/>
  <c r="AA51" i="16"/>
  <c r="AQ51" i="16" s="1"/>
  <c r="Z51" i="16"/>
  <c r="AP51" i="16" s="1"/>
  <c r="AA50" i="16"/>
  <c r="AQ50" i="16" s="1"/>
  <c r="Z50" i="16"/>
  <c r="AP50" i="16" s="1"/>
  <c r="AA49" i="16"/>
  <c r="AQ49" i="16" s="1"/>
  <c r="Z49" i="16"/>
  <c r="AP49" i="16" s="1"/>
  <c r="AA48" i="16"/>
  <c r="AQ48" i="16" s="1"/>
  <c r="Z48" i="16"/>
  <c r="AP48" i="16" s="1"/>
  <c r="AA47" i="16"/>
  <c r="AQ47" i="16" s="1"/>
  <c r="Z47" i="16"/>
  <c r="AP47" i="16" s="1"/>
  <c r="AA46" i="16"/>
  <c r="AQ46" i="16" s="1"/>
  <c r="Z46" i="16"/>
  <c r="AP46" i="16" s="1"/>
  <c r="AA45" i="16"/>
  <c r="AQ45" i="16" s="1"/>
  <c r="Z45" i="16"/>
  <c r="AP45" i="16" s="1"/>
  <c r="AA44" i="16"/>
  <c r="AQ44" i="16" s="1"/>
  <c r="Z44" i="16"/>
  <c r="AP44" i="16" s="1"/>
  <c r="AA43" i="16"/>
  <c r="AQ43" i="16" s="1"/>
  <c r="Z43" i="16"/>
  <c r="AP43" i="16" s="1"/>
  <c r="AA42" i="16"/>
  <c r="AQ42" i="16" s="1"/>
  <c r="Z42" i="16"/>
  <c r="AP42" i="16" s="1"/>
  <c r="AA41" i="16"/>
  <c r="AQ41" i="16" s="1"/>
  <c r="Z41" i="16"/>
  <c r="AP41" i="16" s="1"/>
  <c r="AA40" i="16"/>
  <c r="AQ40" i="16" s="1"/>
  <c r="Z40" i="16"/>
  <c r="AP40" i="16" s="1"/>
  <c r="AA39" i="16"/>
  <c r="AQ39" i="16" s="1"/>
  <c r="Z39" i="16"/>
  <c r="AP39" i="16" s="1"/>
  <c r="AA38" i="16"/>
  <c r="AQ38" i="16" s="1"/>
  <c r="Z38" i="16"/>
  <c r="AP38" i="16" s="1"/>
  <c r="AA37" i="16"/>
  <c r="AQ37" i="16" s="1"/>
  <c r="Z37" i="16"/>
  <c r="AP37" i="16" s="1"/>
  <c r="AA36" i="16"/>
  <c r="AQ36" i="16" s="1"/>
  <c r="Z36" i="16"/>
  <c r="AP36" i="16" s="1"/>
  <c r="AA35" i="16"/>
  <c r="AQ35" i="16" s="1"/>
  <c r="Z35" i="16"/>
  <c r="AP35" i="16" s="1"/>
  <c r="AA34" i="16"/>
  <c r="AQ34" i="16" s="1"/>
  <c r="Z34" i="16"/>
  <c r="AP34" i="16" s="1"/>
  <c r="AA33" i="16"/>
  <c r="Z33" i="16"/>
  <c r="AP33" i="16" s="1"/>
  <c r="AA32" i="16"/>
  <c r="AQ32" i="16" s="1"/>
  <c r="Z32" i="16"/>
  <c r="AP32" i="16" s="1"/>
  <c r="AO31" i="16"/>
  <c r="AN31" i="16"/>
  <c r="AM31" i="16"/>
  <c r="AL31" i="16"/>
  <c r="AK31" i="16"/>
  <c r="AJ31" i="16"/>
  <c r="AI31" i="16"/>
  <c r="AH31" i="16"/>
  <c r="AG31" i="16"/>
  <c r="AF31" i="16"/>
  <c r="AD31" i="16"/>
  <c r="AC31" i="16"/>
  <c r="AB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AA30" i="16"/>
  <c r="AQ30" i="16" s="1"/>
  <c r="Z30" i="16"/>
  <c r="AP30" i="16" s="1"/>
  <c r="AA29" i="16"/>
  <c r="AQ29" i="16" s="1"/>
  <c r="Z29" i="16"/>
  <c r="AP29" i="16" s="1"/>
  <c r="AA28" i="16"/>
  <c r="AQ28" i="16" s="1"/>
  <c r="Z28" i="16"/>
  <c r="AP28" i="16" s="1"/>
  <c r="AA27" i="16"/>
  <c r="AQ27" i="16" s="1"/>
  <c r="Z27" i="16"/>
  <c r="AP27" i="16" s="1"/>
  <c r="AA26" i="16"/>
  <c r="AQ26" i="16" s="1"/>
  <c r="Z26" i="16"/>
  <c r="AP26" i="16" s="1"/>
  <c r="AA25" i="16"/>
  <c r="AQ25" i="16" s="1"/>
  <c r="Z25" i="16"/>
  <c r="AP25" i="16" s="1"/>
  <c r="AA24" i="16"/>
  <c r="AQ24" i="16" s="1"/>
  <c r="Z24" i="16"/>
  <c r="AP24" i="16" s="1"/>
  <c r="AA23" i="16"/>
  <c r="AQ23" i="16" s="1"/>
  <c r="Z23" i="16"/>
  <c r="AP23" i="16" s="1"/>
  <c r="AA22" i="16"/>
  <c r="AQ22" i="16" s="1"/>
  <c r="Z22" i="16"/>
  <c r="AP22" i="16" s="1"/>
  <c r="AA21" i="16"/>
  <c r="AQ21" i="16" s="1"/>
  <c r="D21" i="16"/>
  <c r="AA20" i="16"/>
  <c r="AQ20" i="16" s="1"/>
  <c r="Z20" i="16"/>
  <c r="AP20" i="16" s="1"/>
  <c r="AA19" i="16"/>
  <c r="AQ19" i="16" s="1"/>
  <c r="D19" i="16"/>
  <c r="AA18" i="16"/>
  <c r="AQ18" i="16" s="1"/>
  <c r="Z18" i="16"/>
  <c r="AP18" i="16" s="1"/>
  <c r="AA17" i="16"/>
  <c r="AQ17" i="16" s="1"/>
  <c r="Z17" i="16"/>
  <c r="AP17" i="16" s="1"/>
  <c r="AA16" i="16"/>
  <c r="AQ16" i="16" s="1"/>
  <c r="Z16" i="16"/>
  <c r="AP16" i="16" s="1"/>
  <c r="AA15" i="16"/>
  <c r="AQ15" i="16" s="1"/>
  <c r="Z15" i="16"/>
  <c r="AP15" i="16" s="1"/>
  <c r="AA14" i="16"/>
  <c r="AQ14" i="16" s="1"/>
  <c r="Z14" i="16"/>
  <c r="AP14" i="16" s="1"/>
  <c r="AA13" i="16"/>
  <c r="AQ13" i="16" s="1"/>
  <c r="Z13" i="16"/>
  <c r="AP13" i="16" s="1"/>
  <c r="AA12" i="16"/>
  <c r="AQ12" i="16" s="1"/>
  <c r="Z12" i="16"/>
  <c r="AP12" i="16" s="1"/>
  <c r="AA11" i="16"/>
  <c r="AQ11" i="16" s="1"/>
  <c r="Z11" i="16"/>
  <c r="AP11" i="16" s="1"/>
  <c r="AA10" i="16"/>
  <c r="AQ10" i="16" s="1"/>
  <c r="Z10" i="16"/>
  <c r="AP10" i="16" s="1"/>
  <c r="AE31" i="16"/>
  <c r="AA9" i="16"/>
  <c r="Z9" i="16"/>
  <c r="AP9" i="16" s="1"/>
  <c r="AA8" i="16"/>
  <c r="AQ8" i="16" s="1"/>
  <c r="Z8" i="16"/>
  <c r="AP8" i="16" s="1"/>
  <c r="Z486" i="1"/>
  <c r="AP486" i="1" s="1"/>
  <c r="AA486" i="1"/>
  <c r="AQ486" i="1" s="1"/>
  <c r="Z487" i="1"/>
  <c r="AP487" i="1" s="1"/>
  <c r="AA487" i="1"/>
  <c r="AQ487" i="1" s="1"/>
  <c r="Z488" i="1"/>
  <c r="AP488" i="1" s="1"/>
  <c r="AA488" i="1"/>
  <c r="AQ488" i="1" s="1"/>
  <c r="Z489" i="1"/>
  <c r="AP489" i="1" s="1"/>
  <c r="AA489" i="1"/>
  <c r="AQ489" i="1" s="1"/>
  <c r="Z490" i="1"/>
  <c r="AP490" i="1" s="1"/>
  <c r="AA490" i="1"/>
  <c r="Z491" i="1"/>
  <c r="AP491" i="1" s="1"/>
  <c r="AA491" i="1"/>
  <c r="Z492" i="1"/>
  <c r="AP492" i="1" s="1"/>
  <c r="AA492" i="1"/>
  <c r="Z493" i="1"/>
  <c r="AP493" i="1" s="1"/>
  <c r="AA493" i="1"/>
  <c r="AQ493" i="1" s="1"/>
  <c r="Z494" i="1"/>
  <c r="AP494" i="1" s="1"/>
  <c r="AA494" i="1"/>
  <c r="Z495" i="1"/>
  <c r="AP495" i="1" s="1"/>
  <c r="AA495" i="1"/>
  <c r="AQ495" i="1" s="1"/>
  <c r="Z496" i="1"/>
  <c r="AP496" i="1" s="1"/>
  <c r="AA496" i="1"/>
  <c r="AQ496" i="1" s="1"/>
  <c r="Z497" i="1"/>
  <c r="AP497" i="1" s="1"/>
  <c r="AA497" i="1"/>
  <c r="AQ497" i="1" s="1"/>
  <c r="Z498" i="1"/>
  <c r="AP498" i="1" s="1"/>
  <c r="AA498" i="1"/>
  <c r="AQ498" i="1" s="1"/>
  <c r="Z499" i="1"/>
  <c r="AP499" i="1" s="1"/>
  <c r="Z500" i="1"/>
  <c r="AP500" i="1" s="1"/>
  <c r="AA500" i="1"/>
  <c r="AQ500" i="1" s="1"/>
  <c r="Z501" i="1"/>
  <c r="AP501" i="1" s="1"/>
  <c r="AA501" i="1"/>
  <c r="Z502" i="1"/>
  <c r="AP502" i="1" s="1"/>
  <c r="AA502" i="1"/>
  <c r="AQ502" i="1" s="1"/>
  <c r="Z503" i="1"/>
  <c r="AP503" i="1" s="1"/>
  <c r="AA503" i="1"/>
  <c r="AQ503" i="1" s="1"/>
  <c r="Z504" i="1"/>
  <c r="AP504" i="1" s="1"/>
  <c r="AA504" i="1"/>
  <c r="AQ504" i="1" s="1"/>
  <c r="Z505" i="1"/>
  <c r="AP505" i="1" s="1"/>
  <c r="AA505" i="1"/>
  <c r="AQ505" i="1" s="1"/>
  <c r="Z506" i="1"/>
  <c r="AA506" i="1"/>
  <c r="AQ506" i="1" s="1"/>
  <c r="Z507" i="1"/>
  <c r="AP507" i="1" s="1"/>
  <c r="AA507" i="1"/>
  <c r="AQ507" i="1" s="1"/>
  <c r="Z508" i="1"/>
  <c r="AP508" i="1" s="1"/>
  <c r="AA508" i="1"/>
  <c r="AQ508" i="1" s="1"/>
  <c r="Z509" i="1"/>
  <c r="AP509" i="1" s="1"/>
  <c r="AA509" i="1"/>
  <c r="AQ509" i="1" s="1"/>
  <c r="Z510" i="1"/>
  <c r="AP510" i="1" s="1"/>
  <c r="Z511" i="1"/>
  <c r="AP511" i="1" s="1"/>
  <c r="AA511" i="1"/>
  <c r="AQ511" i="1" s="1"/>
  <c r="Z512" i="1"/>
  <c r="AP512" i="1" s="1"/>
  <c r="AA512" i="1"/>
  <c r="AQ512" i="1" s="1"/>
  <c r="Z513" i="1"/>
  <c r="AP513" i="1" s="1"/>
  <c r="AA513" i="1"/>
  <c r="AQ513" i="1" s="1"/>
  <c r="Z514" i="1"/>
  <c r="AP514" i="1" s="1"/>
  <c r="AA514" i="1"/>
  <c r="Z515" i="1"/>
  <c r="AP515" i="1" s="1"/>
  <c r="AA515" i="1"/>
  <c r="AQ515" i="1" s="1"/>
  <c r="Z516" i="1"/>
  <c r="AP516" i="1" s="1"/>
  <c r="AA516" i="1"/>
  <c r="AQ516" i="1" s="1"/>
  <c r="Z517" i="1"/>
  <c r="AP517" i="1" s="1"/>
  <c r="AA517" i="1"/>
  <c r="AQ517" i="1" s="1"/>
  <c r="Z518" i="1"/>
  <c r="AP518" i="1" s="1"/>
  <c r="AA518" i="1"/>
  <c r="AQ518" i="1" s="1"/>
  <c r="Z519" i="1"/>
  <c r="AP519" i="1" s="1"/>
  <c r="AA519" i="1"/>
  <c r="AQ519" i="1" s="1"/>
  <c r="Z520" i="1"/>
  <c r="AP520" i="1" s="1"/>
  <c r="AA520" i="1"/>
  <c r="AQ520" i="1" s="1"/>
  <c r="Z521" i="1"/>
  <c r="AP521" i="1" s="1"/>
  <c r="AA521" i="1"/>
  <c r="AQ521" i="1" s="1"/>
  <c r="Z522" i="1"/>
  <c r="AP522" i="1" s="1"/>
  <c r="AA522" i="1"/>
  <c r="AQ522" i="1" s="1"/>
  <c r="Z523" i="1"/>
  <c r="AP523" i="1" s="1"/>
  <c r="AA523" i="1"/>
  <c r="AQ523" i="1" s="1"/>
  <c r="Z524" i="1"/>
  <c r="AP524" i="1" s="1"/>
  <c r="AA524" i="1"/>
  <c r="AQ524" i="1" s="1"/>
  <c r="Z525" i="1"/>
  <c r="AP525" i="1" s="1"/>
  <c r="AA525" i="1"/>
  <c r="AQ525" i="1" s="1"/>
  <c r="Z526" i="1"/>
  <c r="AP526" i="1" s="1"/>
  <c r="AA526" i="1"/>
  <c r="AQ526" i="1" s="1"/>
  <c r="Z527" i="1"/>
  <c r="AP527" i="1" s="1"/>
  <c r="AA527" i="1"/>
  <c r="AQ527" i="1" s="1"/>
  <c r="Z528" i="1"/>
  <c r="AP528" i="1" s="1"/>
  <c r="AA528" i="1"/>
  <c r="AQ528" i="1" s="1"/>
  <c r="Z529" i="1"/>
  <c r="AP529" i="1" s="1"/>
  <c r="AA529" i="1"/>
  <c r="AQ529" i="1" s="1"/>
  <c r="Z530" i="1"/>
  <c r="AP530" i="1" s="1"/>
  <c r="AA530" i="1"/>
  <c r="AQ530" i="1" s="1"/>
  <c r="Z531" i="1"/>
  <c r="AP531" i="1" s="1"/>
  <c r="AA531" i="1"/>
  <c r="AQ531" i="1" s="1"/>
  <c r="Z532" i="1"/>
  <c r="AP532" i="1" s="1"/>
  <c r="AA532" i="1"/>
  <c r="AQ532" i="1" s="1"/>
  <c r="Z533" i="1"/>
  <c r="AP533" i="1" s="1"/>
  <c r="AA533" i="1"/>
  <c r="AQ533" i="1" s="1"/>
  <c r="Z534" i="1"/>
  <c r="AP534" i="1" s="1"/>
  <c r="AA534" i="1"/>
  <c r="AQ534" i="1" s="1"/>
  <c r="Z535" i="1"/>
  <c r="AP535" i="1" s="1"/>
  <c r="AA535" i="1"/>
  <c r="Z536" i="1"/>
  <c r="AP536" i="1" s="1"/>
  <c r="AA536" i="1"/>
  <c r="AQ536" i="1" s="1"/>
  <c r="Z537" i="1"/>
  <c r="AP537" i="1" s="1"/>
  <c r="AA537" i="1"/>
  <c r="AQ537" i="1" s="1"/>
  <c r="Z538" i="1"/>
  <c r="AP538" i="1" s="1"/>
  <c r="AA538" i="1"/>
  <c r="AQ538" i="1" s="1"/>
  <c r="Z539" i="1"/>
  <c r="AP539" i="1" s="1"/>
  <c r="AA539" i="1"/>
  <c r="AQ539" i="1" s="1"/>
  <c r="Z540" i="1"/>
  <c r="AP540" i="1" s="1"/>
  <c r="AA540" i="1"/>
  <c r="AQ540" i="1" s="1"/>
  <c r="Z541" i="1"/>
  <c r="AP541" i="1" s="1"/>
  <c r="AA541" i="1"/>
  <c r="AQ541" i="1" s="1"/>
  <c r="Z542" i="1"/>
  <c r="AP542" i="1" s="1"/>
  <c r="AA542" i="1"/>
  <c r="AQ542" i="1" s="1"/>
  <c r="Z543" i="1"/>
  <c r="AP543" i="1" s="1"/>
  <c r="AA543" i="1"/>
  <c r="AQ543" i="1" s="1"/>
  <c r="Z544" i="1"/>
  <c r="AP544" i="1" s="1"/>
  <c r="AA544" i="1"/>
  <c r="AQ544" i="1" s="1"/>
  <c r="Z545" i="1"/>
  <c r="AP545" i="1" s="1"/>
  <c r="AA545" i="1"/>
  <c r="AQ545" i="1" s="1"/>
  <c r="F30" i="8" s="1"/>
  <c r="Z546" i="1"/>
  <c r="AP546" i="1" s="1"/>
  <c r="AA546" i="1"/>
  <c r="AQ546" i="1" s="1"/>
  <c r="Z547" i="1"/>
  <c r="AP547" i="1" s="1"/>
  <c r="AA547" i="1"/>
  <c r="AQ547" i="1" s="1"/>
  <c r="Z548" i="1"/>
  <c r="AP548" i="1" s="1"/>
  <c r="AA548" i="1"/>
  <c r="AQ548" i="1" s="1"/>
  <c r="Z549" i="1"/>
  <c r="AP549" i="1" s="1"/>
  <c r="AA549" i="1"/>
  <c r="Z550" i="1"/>
  <c r="AP550" i="1" s="1"/>
  <c r="AA550" i="1"/>
  <c r="Z551" i="1"/>
  <c r="AP551" i="1" s="1"/>
  <c r="AA551" i="1"/>
  <c r="AQ551" i="1" s="1"/>
  <c r="Z552" i="1"/>
  <c r="AP552" i="1" s="1"/>
  <c r="AA552" i="1"/>
  <c r="AQ552" i="1" s="1"/>
  <c r="Z553" i="1"/>
  <c r="AP553" i="1" s="1"/>
  <c r="AA553" i="1"/>
  <c r="AQ553" i="1" s="1"/>
  <c r="Z554" i="1"/>
  <c r="AP554" i="1" s="1"/>
  <c r="AA554" i="1"/>
  <c r="AQ554" i="1" s="1"/>
  <c r="Z555" i="1"/>
  <c r="AP555" i="1" s="1"/>
  <c r="AA555" i="1"/>
  <c r="AQ555" i="1" s="1"/>
  <c r="Z556" i="1"/>
  <c r="AP556" i="1" s="1"/>
  <c r="AA556" i="1"/>
  <c r="AQ556" i="1" s="1"/>
  <c r="Z557" i="1"/>
  <c r="AP557" i="1" s="1"/>
  <c r="Z558" i="1"/>
  <c r="AP558" i="1" s="1"/>
  <c r="AA558" i="1"/>
  <c r="AQ558" i="1" s="1"/>
  <c r="AA559" i="1"/>
  <c r="AQ559" i="1" s="1"/>
  <c r="Z560" i="1"/>
  <c r="AP560" i="1" s="1"/>
  <c r="AA560" i="1"/>
  <c r="AQ560" i="1" s="1"/>
  <c r="AG501" i="1"/>
  <c r="E499" i="1"/>
  <c r="AA499" i="1" s="1"/>
  <c r="AQ499" i="1" s="1"/>
  <c r="AE550" i="1"/>
  <c r="AE490" i="1"/>
  <c r="AG490" i="1"/>
  <c r="AE491" i="1"/>
  <c r="AM549" i="1"/>
  <c r="G42" i="9" l="1"/>
  <c r="AQ549" i="1"/>
  <c r="AQ490" i="1"/>
  <c r="J7" i="9"/>
  <c r="J9" i="9"/>
  <c r="AT58" i="16"/>
  <c r="AQ501" i="1"/>
  <c r="AQ550" i="1"/>
  <c r="AQ491" i="1"/>
  <c r="J17" i="9"/>
  <c r="AT194" i="16"/>
  <c r="G35" i="9"/>
  <c r="I13" i="9"/>
  <c r="AT321" i="16"/>
  <c r="G28" i="9"/>
  <c r="J15" i="9"/>
  <c r="I16" i="9"/>
  <c r="AT469" i="16"/>
  <c r="G43" i="9"/>
  <c r="J6" i="9"/>
  <c r="J11" i="9"/>
  <c r="J14" i="9"/>
  <c r="H42" i="9"/>
  <c r="AT411" i="16"/>
  <c r="H43" i="9"/>
  <c r="J8" i="9"/>
  <c r="G33" i="9"/>
  <c r="J12" i="9"/>
  <c r="AT333" i="16"/>
  <c r="G41" i="9"/>
  <c r="AS18" i="16"/>
  <c r="AU18" i="16"/>
  <c r="AS30" i="16"/>
  <c r="AU30" i="16"/>
  <c r="AS35" i="16"/>
  <c r="AU35" i="16"/>
  <c r="AS47" i="16"/>
  <c r="AU47" i="16"/>
  <c r="AS66" i="16"/>
  <c r="AU66" i="16"/>
  <c r="AU80" i="16"/>
  <c r="AS80" i="16"/>
  <c r="AS91" i="16"/>
  <c r="AU91" i="16"/>
  <c r="AS132" i="16"/>
  <c r="AU132" i="16"/>
  <c r="AS142" i="16"/>
  <c r="AU142" i="16"/>
  <c r="AS154" i="16"/>
  <c r="AU154" i="16"/>
  <c r="AS162" i="16"/>
  <c r="AU162" i="16"/>
  <c r="AS174" i="16"/>
  <c r="AU174" i="16"/>
  <c r="AS188" i="16"/>
  <c r="AU188" i="16"/>
  <c r="AU234" i="16"/>
  <c r="AS234" i="16"/>
  <c r="AU255" i="16"/>
  <c r="AS255" i="16"/>
  <c r="AU286" i="16"/>
  <c r="AS286" i="16"/>
  <c r="AU298" i="16"/>
  <c r="AS298" i="16"/>
  <c r="AS306" i="16"/>
  <c r="AU306" i="16"/>
  <c r="AS318" i="16"/>
  <c r="AU318" i="16"/>
  <c r="AS328" i="16"/>
  <c r="AU328" i="16"/>
  <c r="AS337" i="16"/>
  <c r="AU337" i="16"/>
  <c r="AU361" i="16"/>
  <c r="AS361" i="16"/>
  <c r="AS370" i="16"/>
  <c r="AU370" i="16"/>
  <c r="AU378" i="16"/>
  <c r="AS378" i="16"/>
  <c r="AU387" i="16"/>
  <c r="AS387" i="16"/>
  <c r="AS431" i="16"/>
  <c r="AU431" i="16"/>
  <c r="AS443" i="16"/>
  <c r="AU443" i="16"/>
  <c r="AS109" i="16"/>
  <c r="AU109" i="16"/>
  <c r="AS124" i="16"/>
  <c r="AU124" i="16"/>
  <c r="AS160" i="16"/>
  <c r="AU160" i="16"/>
  <c r="AU191" i="16"/>
  <c r="AS191" i="16"/>
  <c r="AU203" i="16"/>
  <c r="AS203" i="16"/>
  <c r="AS220" i="16"/>
  <c r="AU220" i="16"/>
  <c r="AU239" i="16"/>
  <c r="AS239" i="16"/>
  <c r="AU251" i="16"/>
  <c r="AS251" i="16"/>
  <c r="AS258" i="16"/>
  <c r="AU258" i="16"/>
  <c r="AS270" i="16"/>
  <c r="AU270" i="16"/>
  <c r="AS347" i="16"/>
  <c r="AU347" i="16"/>
  <c r="AS449" i="16"/>
  <c r="AU449" i="16"/>
  <c r="AU463" i="16"/>
  <c r="AS463" i="16"/>
  <c r="AS466" i="16"/>
  <c r="AU466" i="16"/>
  <c r="AS36" i="16"/>
  <c r="AU36" i="16"/>
  <c r="AS48" i="16"/>
  <c r="AU48" i="16"/>
  <c r="AS70" i="16"/>
  <c r="AU70" i="16"/>
  <c r="AU146" i="16"/>
  <c r="AS146" i="16"/>
  <c r="AS163" i="16"/>
  <c r="AU163" i="16"/>
  <c r="AS175" i="16"/>
  <c r="AU175" i="16"/>
  <c r="AU223" i="16"/>
  <c r="AS223" i="16"/>
  <c r="AS226" i="16"/>
  <c r="AU226" i="16"/>
  <c r="AU229" i="16"/>
  <c r="AS229" i="16"/>
  <c r="AS232" i="16"/>
  <c r="AU232" i="16"/>
  <c r="AT235" i="16"/>
  <c r="AU253" i="16"/>
  <c r="AS253" i="16"/>
  <c r="AU256" i="16"/>
  <c r="AS256" i="16"/>
  <c r="AS284" i="16"/>
  <c r="AU284" i="16"/>
  <c r="AU287" i="16"/>
  <c r="AS287" i="16"/>
  <c r="AU290" i="16"/>
  <c r="AS290" i="16"/>
  <c r="AU293" i="16"/>
  <c r="AS293" i="16"/>
  <c r="AU296" i="16"/>
  <c r="AS296" i="16"/>
  <c r="AU299" i="16"/>
  <c r="AS299" i="16"/>
  <c r="AS304" i="16"/>
  <c r="AU304" i="16"/>
  <c r="AU307" i="16"/>
  <c r="AS307" i="16"/>
  <c r="AS310" i="16"/>
  <c r="AU310" i="16"/>
  <c r="AU313" i="16"/>
  <c r="AS313" i="16"/>
  <c r="AS316" i="16"/>
  <c r="AU316" i="16"/>
  <c r="AU319" i="16"/>
  <c r="AS319" i="16"/>
  <c r="AU329" i="16"/>
  <c r="AS329" i="16"/>
  <c r="AS332" i="16"/>
  <c r="AU332" i="16"/>
  <c r="AU335" i="16"/>
  <c r="AS335" i="16"/>
  <c r="AS338" i="16"/>
  <c r="AU338" i="16"/>
  <c r="AS341" i="16"/>
  <c r="AU341" i="16"/>
  <c r="Z351" i="16"/>
  <c r="AP351" i="16" s="1"/>
  <c r="AS351" i="16" s="1"/>
  <c r="AT351" i="16"/>
  <c r="AU356" i="16"/>
  <c r="AS356" i="16"/>
  <c r="AT359" i="16"/>
  <c r="AS362" i="16"/>
  <c r="AU362" i="16"/>
  <c r="AS365" i="16"/>
  <c r="AU365" i="16"/>
  <c r="AS368" i="16"/>
  <c r="AU368" i="16"/>
  <c r="AS371" i="16"/>
  <c r="AU371" i="16"/>
  <c r="AU376" i="16"/>
  <c r="AS376" i="16"/>
  <c r="AU379" i="16"/>
  <c r="AS379" i="16"/>
  <c r="AU382" i="16"/>
  <c r="AS382" i="16"/>
  <c r="AU385" i="16"/>
  <c r="AS385" i="16"/>
  <c r="AS405" i="16"/>
  <c r="AU405" i="16"/>
  <c r="AU415" i="16"/>
  <c r="AS415" i="16"/>
  <c r="AS426" i="16"/>
  <c r="AU426" i="16"/>
  <c r="AS429" i="16"/>
  <c r="AU429" i="16"/>
  <c r="AS432" i="16"/>
  <c r="AU432" i="16"/>
  <c r="AS435" i="16"/>
  <c r="AU435" i="16"/>
  <c r="AS438" i="16"/>
  <c r="AU438" i="16"/>
  <c r="AS441" i="16"/>
  <c r="AU441" i="16"/>
  <c r="AS444" i="16"/>
  <c r="AU444" i="16"/>
  <c r="AS468" i="16"/>
  <c r="AU468" i="16"/>
  <c r="AS32" i="16"/>
  <c r="AU32" i="16"/>
  <c r="AS44" i="16"/>
  <c r="AU44" i="16"/>
  <c r="AU56" i="16"/>
  <c r="AS56" i="16"/>
  <c r="AS69" i="16"/>
  <c r="AU69" i="16"/>
  <c r="AS85" i="16"/>
  <c r="AU85" i="16"/>
  <c r="AS168" i="16"/>
  <c r="AU168" i="16"/>
  <c r="AS177" i="16"/>
  <c r="AU177" i="16"/>
  <c r="AS228" i="16"/>
  <c r="AU228" i="16"/>
  <c r="AU303" i="16"/>
  <c r="AS303" i="16"/>
  <c r="AU315" i="16"/>
  <c r="AS315" i="16"/>
  <c r="AS106" i="16"/>
  <c r="AU106" i="16"/>
  <c r="AS115" i="16"/>
  <c r="AU115" i="16"/>
  <c r="AS121" i="16"/>
  <c r="AU121" i="16"/>
  <c r="AS200" i="16"/>
  <c r="AU200" i="16"/>
  <c r="AS214" i="16"/>
  <c r="AU214" i="16"/>
  <c r="AU245" i="16"/>
  <c r="AS245" i="16"/>
  <c r="AS264" i="16"/>
  <c r="AU264" i="16"/>
  <c r="AU273" i="16"/>
  <c r="AS273" i="16"/>
  <c r="AU281" i="16"/>
  <c r="AS281" i="16"/>
  <c r="AS393" i="16"/>
  <c r="AU393" i="16"/>
  <c r="AU412" i="16"/>
  <c r="AS412" i="16"/>
  <c r="AS452" i="16"/>
  <c r="AU452" i="16"/>
  <c r="AS13" i="16"/>
  <c r="AU13" i="16"/>
  <c r="AS25" i="16"/>
  <c r="AU25" i="16"/>
  <c r="AS39" i="16"/>
  <c r="AU39" i="16"/>
  <c r="AS51" i="16"/>
  <c r="AU51" i="16"/>
  <c r="AS67" i="16"/>
  <c r="AU67" i="16"/>
  <c r="AS81" i="16"/>
  <c r="AU81" i="16"/>
  <c r="AU92" i="16"/>
  <c r="AS92" i="16"/>
  <c r="AS143" i="16"/>
  <c r="AU143" i="16"/>
  <c r="AS155" i="16"/>
  <c r="AU155" i="16"/>
  <c r="AS166" i="16"/>
  <c r="AU166" i="16"/>
  <c r="AS178" i="16"/>
  <c r="AU178" i="16"/>
  <c r="AS186" i="16"/>
  <c r="AU186" i="16"/>
  <c r="AS8" i="16"/>
  <c r="AU8" i="16"/>
  <c r="D78" i="16"/>
  <c r="AT78" i="16" s="1"/>
  <c r="AT65" i="16"/>
  <c r="AS73" i="16"/>
  <c r="AU73" i="16"/>
  <c r="AS76" i="16"/>
  <c r="AU76" i="16"/>
  <c r="AU98" i="16"/>
  <c r="AS98" i="16"/>
  <c r="AS101" i="16"/>
  <c r="AU101" i="16"/>
  <c r="AU104" i="16"/>
  <c r="AS104" i="16"/>
  <c r="AS107" i="16"/>
  <c r="AU107" i="16"/>
  <c r="AU110" i="16"/>
  <c r="AS110" i="16"/>
  <c r="AS113" i="16"/>
  <c r="AU113" i="16"/>
  <c r="AU116" i="16"/>
  <c r="AS116" i="16"/>
  <c r="AS119" i="16"/>
  <c r="AU119" i="16"/>
  <c r="AU122" i="16"/>
  <c r="AS122" i="16"/>
  <c r="AS125" i="16"/>
  <c r="AU125" i="16"/>
  <c r="AU128" i="16"/>
  <c r="AS128" i="16"/>
  <c r="AS138" i="16"/>
  <c r="AU138" i="16"/>
  <c r="Z144" i="16"/>
  <c r="AP144" i="16" s="1"/>
  <c r="AS144" i="16" s="1"/>
  <c r="AT144" i="16"/>
  <c r="AU158" i="16"/>
  <c r="AS158" i="16"/>
  <c r="AU189" i="16"/>
  <c r="AS189" i="16"/>
  <c r="AS192" i="16"/>
  <c r="AU192" i="16"/>
  <c r="AU195" i="16"/>
  <c r="AS195" i="16"/>
  <c r="AS198" i="16"/>
  <c r="AU198" i="16"/>
  <c r="AU201" i="16"/>
  <c r="AS201" i="16"/>
  <c r="AS204" i="16"/>
  <c r="AU204" i="16"/>
  <c r="AU207" i="16"/>
  <c r="AS207" i="16"/>
  <c r="AS210" i="16"/>
  <c r="AU210" i="16"/>
  <c r="AU215" i="16"/>
  <c r="AS215" i="16"/>
  <c r="AS218" i="16"/>
  <c r="AU218" i="16"/>
  <c r="AU221" i="16"/>
  <c r="AS221" i="16"/>
  <c r="AU237" i="16"/>
  <c r="AS237" i="16"/>
  <c r="AU240" i="16"/>
  <c r="AS240" i="16"/>
  <c r="AU243" i="16"/>
  <c r="AS243" i="16"/>
  <c r="AS246" i="16"/>
  <c r="AU246" i="16"/>
  <c r="AU249" i="16"/>
  <c r="AS249" i="16"/>
  <c r="AT252" i="16"/>
  <c r="AU259" i="16"/>
  <c r="AS259" i="16"/>
  <c r="AU262" i="16"/>
  <c r="AS262" i="16"/>
  <c r="AU265" i="16"/>
  <c r="AS265" i="16"/>
  <c r="AS268" i="16"/>
  <c r="AU268" i="16"/>
  <c r="AU271" i="16"/>
  <c r="AS271" i="16"/>
  <c r="AS274" i="16"/>
  <c r="AU274" i="16"/>
  <c r="AU279" i="16"/>
  <c r="AS279" i="16"/>
  <c r="AU324" i="16"/>
  <c r="AS324" i="16"/>
  <c r="AU327" i="16"/>
  <c r="AS327" i="16"/>
  <c r="AU345" i="16"/>
  <c r="AS345" i="16"/>
  <c r="AS348" i="16"/>
  <c r="AU348" i="16"/>
  <c r="AU351" i="16"/>
  <c r="AA360" i="16"/>
  <c r="AQ360" i="16" s="1"/>
  <c r="AT360" i="16"/>
  <c r="AS391" i="16"/>
  <c r="AU391" i="16"/>
  <c r="AS394" i="16"/>
  <c r="AU394" i="16"/>
  <c r="AU399" i="16"/>
  <c r="AS399" i="16"/>
  <c r="AS410" i="16"/>
  <c r="AU410" i="16"/>
  <c r="AU421" i="16"/>
  <c r="AS421" i="16"/>
  <c r="AS424" i="16"/>
  <c r="AU424" i="16"/>
  <c r="AS447" i="16"/>
  <c r="AU447" i="16"/>
  <c r="AS450" i="16"/>
  <c r="AU450" i="16"/>
  <c r="AS453" i="16"/>
  <c r="AU453" i="16"/>
  <c r="AS456" i="16"/>
  <c r="AU456" i="16"/>
  <c r="AU461" i="16"/>
  <c r="AS461" i="16"/>
  <c r="AS464" i="16"/>
  <c r="AU464" i="16"/>
  <c r="AS15" i="16"/>
  <c r="AU15" i="16"/>
  <c r="AS24" i="16"/>
  <c r="AU24" i="16"/>
  <c r="AS38" i="16"/>
  <c r="AU38" i="16"/>
  <c r="AU50" i="16"/>
  <c r="AS50" i="16"/>
  <c r="AS63" i="16"/>
  <c r="AU63" i="16"/>
  <c r="AS145" i="16"/>
  <c r="AU145" i="16"/>
  <c r="AS171" i="16"/>
  <c r="AU171" i="16"/>
  <c r="AU183" i="16"/>
  <c r="AS183" i="16"/>
  <c r="AU231" i="16"/>
  <c r="AS231" i="16"/>
  <c r="AU283" i="16"/>
  <c r="AS283" i="16"/>
  <c r="AU295" i="16"/>
  <c r="AS295" i="16"/>
  <c r="AU309" i="16"/>
  <c r="AS309" i="16"/>
  <c r="AU355" i="16"/>
  <c r="AS355" i="16"/>
  <c r="AS364" i="16"/>
  <c r="AU364" i="16"/>
  <c r="AU381" i="16"/>
  <c r="AS381" i="16"/>
  <c r="AU417" i="16"/>
  <c r="AS417" i="16"/>
  <c r="AS434" i="16"/>
  <c r="AU434" i="16"/>
  <c r="AS440" i="16"/>
  <c r="AU440" i="16"/>
  <c r="AS470" i="16"/>
  <c r="AU470" i="16"/>
  <c r="Z19" i="16"/>
  <c r="AP19" i="16" s="1"/>
  <c r="AS19" i="16" s="1"/>
  <c r="AT19" i="16"/>
  <c r="AS100" i="16"/>
  <c r="AU100" i="16"/>
  <c r="AS130" i="16"/>
  <c r="AU130" i="16"/>
  <c r="AS206" i="16"/>
  <c r="AU206" i="16"/>
  <c r="AU217" i="16"/>
  <c r="AS217" i="16"/>
  <c r="AS242" i="16"/>
  <c r="AU242" i="16"/>
  <c r="AU261" i="16"/>
  <c r="AS261" i="16"/>
  <c r="AS276" i="16"/>
  <c r="AU276" i="16"/>
  <c r="AS326" i="16"/>
  <c r="AU326" i="16"/>
  <c r="AA388" i="16"/>
  <c r="AQ388" i="16" s="1"/>
  <c r="AT388" i="16"/>
  <c r="AS401" i="16"/>
  <c r="AU401" i="16"/>
  <c r="AS409" i="16"/>
  <c r="AU409" i="16"/>
  <c r="AS423" i="16"/>
  <c r="AU423" i="16"/>
  <c r="AS446" i="16"/>
  <c r="AU446" i="16"/>
  <c r="AS458" i="16"/>
  <c r="AU458" i="16"/>
  <c r="AS10" i="16"/>
  <c r="AU10" i="16"/>
  <c r="AS22" i="16"/>
  <c r="AU22" i="16"/>
  <c r="AS45" i="16"/>
  <c r="AU45" i="16"/>
  <c r="AS57" i="16"/>
  <c r="AU57" i="16"/>
  <c r="AS61" i="16"/>
  <c r="AU61" i="16"/>
  <c r="AU86" i="16"/>
  <c r="AS86" i="16"/>
  <c r="AS95" i="16"/>
  <c r="AU95" i="16"/>
  <c r="AS149" i="16"/>
  <c r="AU149" i="16"/>
  <c r="AS169" i="16"/>
  <c r="AU169" i="16"/>
  <c r="AS184" i="16"/>
  <c r="AU184" i="16"/>
  <c r="AS11" i="16"/>
  <c r="AU11" i="16"/>
  <c r="AS14" i="16"/>
  <c r="AU14" i="16"/>
  <c r="AS17" i="16"/>
  <c r="AU17" i="16"/>
  <c r="AS20" i="16"/>
  <c r="AU20" i="16"/>
  <c r="AS23" i="16"/>
  <c r="AU23" i="16"/>
  <c r="AS26" i="16"/>
  <c r="AU26" i="16"/>
  <c r="AS29" i="16"/>
  <c r="AU29" i="16"/>
  <c r="AS34" i="16"/>
  <c r="AU34" i="16"/>
  <c r="AS37" i="16"/>
  <c r="AU37" i="16"/>
  <c r="AS40" i="16"/>
  <c r="AU40" i="16"/>
  <c r="AS43" i="16"/>
  <c r="AU43" i="16"/>
  <c r="AS46" i="16"/>
  <c r="AU46" i="16"/>
  <c r="AS49" i="16"/>
  <c r="AU49" i="16"/>
  <c r="AS52" i="16"/>
  <c r="AU52" i="16"/>
  <c r="AS55" i="16"/>
  <c r="AU55" i="16"/>
  <c r="AU62" i="16"/>
  <c r="AS62" i="16"/>
  <c r="AU68" i="16"/>
  <c r="AS68" i="16"/>
  <c r="AS71" i="16"/>
  <c r="AU71" i="16"/>
  <c r="AS79" i="16"/>
  <c r="AU79" i="16"/>
  <c r="AS84" i="16"/>
  <c r="AU84" i="16"/>
  <c r="AS87" i="16"/>
  <c r="AU87" i="16"/>
  <c r="AS90" i="16"/>
  <c r="AU90" i="16"/>
  <c r="AS93" i="16"/>
  <c r="AU93" i="16"/>
  <c r="AS96" i="16"/>
  <c r="AU96" i="16"/>
  <c r="Z114" i="16"/>
  <c r="AP114" i="16" s="1"/>
  <c r="AT114" i="16"/>
  <c r="AS131" i="16"/>
  <c r="AU131" i="16"/>
  <c r="AU134" i="16"/>
  <c r="AS134" i="16"/>
  <c r="AS136" i="16"/>
  <c r="AU136" i="16"/>
  <c r="AS141" i="16"/>
  <c r="AU141" i="16"/>
  <c r="AS147" i="16"/>
  <c r="AU147" i="16"/>
  <c r="AS150" i="16"/>
  <c r="AU150" i="16"/>
  <c r="AS153" i="16"/>
  <c r="AU153" i="16"/>
  <c r="AS161" i="16"/>
  <c r="AU161" i="16"/>
  <c r="AU164" i="16"/>
  <c r="AS164" i="16"/>
  <c r="AS167" i="16"/>
  <c r="AU167" i="16"/>
  <c r="AU170" i="16"/>
  <c r="AS170" i="16"/>
  <c r="AS173" i="16"/>
  <c r="AU173" i="16"/>
  <c r="AU176" i="16"/>
  <c r="AS176" i="16"/>
  <c r="AU179" i="16"/>
  <c r="AS179" i="16"/>
  <c r="AS182" i="16"/>
  <c r="AU182" i="16"/>
  <c r="Z199" i="16"/>
  <c r="AP199" i="16" s="1"/>
  <c r="AU199" i="16" s="1"/>
  <c r="AT199" i="16"/>
  <c r="AS224" i="16"/>
  <c r="AU224" i="16"/>
  <c r="AU227" i="16"/>
  <c r="AS227" i="16"/>
  <c r="AS230" i="16"/>
  <c r="AU230" i="16"/>
  <c r="AU233" i="16"/>
  <c r="AS233" i="16"/>
  <c r="AS254" i="16"/>
  <c r="AU254" i="16"/>
  <c r="D277" i="16"/>
  <c r="AT277" i="16" s="1"/>
  <c r="AT266" i="16"/>
  <c r="AU282" i="16"/>
  <c r="AS282" i="16"/>
  <c r="AU285" i="16"/>
  <c r="AS285" i="16"/>
  <c r="AU288" i="16"/>
  <c r="AS288" i="16"/>
  <c r="AU291" i="16"/>
  <c r="AS291" i="16"/>
  <c r="AS294" i="16"/>
  <c r="AU294" i="16"/>
  <c r="AU297" i="16"/>
  <c r="AS297" i="16"/>
  <c r="AU302" i="16"/>
  <c r="AS302" i="16"/>
  <c r="AU305" i="16"/>
  <c r="AS305" i="16"/>
  <c r="AU308" i="16"/>
  <c r="AS308" i="16"/>
  <c r="AU311" i="16"/>
  <c r="AS311" i="16"/>
  <c r="AU314" i="16"/>
  <c r="AS314" i="16"/>
  <c r="AU317" i="16"/>
  <c r="AS317" i="16"/>
  <c r="AU320" i="16"/>
  <c r="AS320" i="16"/>
  <c r="AU330" i="16"/>
  <c r="AS330" i="16"/>
  <c r="AS336" i="16"/>
  <c r="AU336" i="16"/>
  <c r="AS339" i="16"/>
  <c r="AU339" i="16"/>
  <c r="AS342" i="16"/>
  <c r="AU342" i="16"/>
  <c r="Z346" i="16"/>
  <c r="AP346" i="16" s="1"/>
  <c r="AT346" i="16"/>
  <c r="AU354" i="16"/>
  <c r="AS354" i="16"/>
  <c r="AU357" i="16"/>
  <c r="AS357" i="16"/>
  <c r="AS363" i="16"/>
  <c r="AU363" i="16"/>
  <c r="AS366" i="16"/>
  <c r="AU366" i="16"/>
  <c r="AU369" i="16"/>
  <c r="AS369" i="16"/>
  <c r="AS372" i="16"/>
  <c r="AU372" i="16"/>
  <c r="AU377" i="16"/>
  <c r="AS377" i="16"/>
  <c r="AU380" i="16"/>
  <c r="AS380" i="16"/>
  <c r="AU383" i="16"/>
  <c r="AS383" i="16"/>
  <c r="AU386" i="16"/>
  <c r="AS386" i="16"/>
  <c r="AU416" i="16"/>
  <c r="AS416" i="16"/>
  <c r="AA422" i="16"/>
  <c r="AQ422" i="16" s="1"/>
  <c r="AT422" i="16"/>
  <c r="AS427" i="16"/>
  <c r="AU427" i="16"/>
  <c r="AS430" i="16"/>
  <c r="AU430" i="16"/>
  <c r="AS433" i="16"/>
  <c r="AU433" i="16"/>
  <c r="AS436" i="16"/>
  <c r="AU436" i="16"/>
  <c r="AS439" i="16"/>
  <c r="AU439" i="16"/>
  <c r="AS442" i="16"/>
  <c r="AU442" i="16"/>
  <c r="AS12" i="16"/>
  <c r="AU12" i="16"/>
  <c r="AS27" i="16"/>
  <c r="AU27" i="16"/>
  <c r="AS41" i="16"/>
  <c r="AU41" i="16"/>
  <c r="AS60" i="16"/>
  <c r="AU60" i="16"/>
  <c r="AS94" i="16"/>
  <c r="AU94" i="16"/>
  <c r="AS151" i="16"/>
  <c r="AU151" i="16"/>
  <c r="AS180" i="16"/>
  <c r="AU180" i="16"/>
  <c r="AU225" i="16"/>
  <c r="AS225" i="16"/>
  <c r="AU292" i="16"/>
  <c r="AS292" i="16"/>
  <c r="AS312" i="16"/>
  <c r="AU312" i="16"/>
  <c r="AU331" i="16"/>
  <c r="AS331" i="16"/>
  <c r="AS340" i="16"/>
  <c r="AU340" i="16"/>
  <c r="AU358" i="16"/>
  <c r="AS358" i="16"/>
  <c r="AU367" i="16"/>
  <c r="AS367" i="16"/>
  <c r="AU384" i="16"/>
  <c r="AS384" i="16"/>
  <c r="AU414" i="16"/>
  <c r="AS414" i="16"/>
  <c r="AS428" i="16"/>
  <c r="AU428" i="16"/>
  <c r="AS437" i="16"/>
  <c r="AU437" i="16"/>
  <c r="AS75" i="16"/>
  <c r="AU75" i="16"/>
  <c r="AS97" i="16"/>
  <c r="AU97" i="16"/>
  <c r="AS112" i="16"/>
  <c r="AU112" i="16"/>
  <c r="AS127" i="16"/>
  <c r="AU127" i="16"/>
  <c r="AU197" i="16"/>
  <c r="AS197" i="16"/>
  <c r="AU209" i="16"/>
  <c r="AS209" i="16"/>
  <c r="AS236" i="16"/>
  <c r="AU236" i="16"/>
  <c r="AS248" i="16"/>
  <c r="AU248" i="16"/>
  <c r="AU267" i="16"/>
  <c r="AS267" i="16"/>
  <c r="AS350" i="16"/>
  <c r="AU350" i="16"/>
  <c r="AS390" i="16"/>
  <c r="AU390" i="16"/>
  <c r="AU407" i="16"/>
  <c r="AS407" i="16"/>
  <c r="AU420" i="16"/>
  <c r="AS420" i="16"/>
  <c r="AS455" i="16"/>
  <c r="AU455" i="16"/>
  <c r="AS16" i="16"/>
  <c r="AU16" i="16"/>
  <c r="AS28" i="16"/>
  <c r="AU28" i="16"/>
  <c r="AS42" i="16"/>
  <c r="AU42" i="16"/>
  <c r="AS54" i="16"/>
  <c r="AU54" i="16"/>
  <c r="AS64" i="16"/>
  <c r="AU64" i="16"/>
  <c r="AS89" i="16"/>
  <c r="AU89" i="16"/>
  <c r="AS133" i="16"/>
  <c r="AU133" i="16"/>
  <c r="AU140" i="16"/>
  <c r="AS140" i="16"/>
  <c r="AU152" i="16"/>
  <c r="AS152" i="16"/>
  <c r="AS172" i="16"/>
  <c r="AU172" i="16"/>
  <c r="AU181" i="16"/>
  <c r="AS181" i="16"/>
  <c r="Z21" i="16"/>
  <c r="AP21" i="16" s="1"/>
  <c r="AS21" i="16" s="1"/>
  <c r="AT21" i="16"/>
  <c r="AU74" i="16"/>
  <c r="AS74" i="16"/>
  <c r="AS77" i="16"/>
  <c r="AU77" i="16"/>
  <c r="Z88" i="16"/>
  <c r="AP88" i="16" s="1"/>
  <c r="AU88" i="16" s="1"/>
  <c r="AT88" i="16"/>
  <c r="AS99" i="16"/>
  <c r="AU99" i="16"/>
  <c r="AS102" i="16"/>
  <c r="AU102" i="16"/>
  <c r="AS105" i="16"/>
  <c r="AU105" i="16"/>
  <c r="AS108" i="16"/>
  <c r="AU108" i="16"/>
  <c r="AS111" i="16"/>
  <c r="AU111" i="16"/>
  <c r="AU114" i="16"/>
  <c r="AS117" i="16"/>
  <c r="AU117" i="16"/>
  <c r="AS120" i="16"/>
  <c r="AU120" i="16"/>
  <c r="AS123" i="16"/>
  <c r="AU123" i="16"/>
  <c r="AS126" i="16"/>
  <c r="AU126" i="16"/>
  <c r="AS129" i="16"/>
  <c r="AU129" i="16"/>
  <c r="AS139" i="16"/>
  <c r="AU139" i="16"/>
  <c r="Z148" i="16"/>
  <c r="AP148" i="16" s="1"/>
  <c r="AU148" i="16" s="1"/>
  <c r="AT148" i="16"/>
  <c r="AS159" i="16"/>
  <c r="AU159" i="16"/>
  <c r="D185" i="16"/>
  <c r="AT185" i="16" s="1"/>
  <c r="AT165" i="16"/>
  <c r="AS190" i="16"/>
  <c r="AU190" i="16"/>
  <c r="AU193" i="16"/>
  <c r="AS193" i="16"/>
  <c r="AS196" i="16"/>
  <c r="AU196" i="16"/>
  <c r="AS202" i="16"/>
  <c r="AU202" i="16"/>
  <c r="AU205" i="16"/>
  <c r="AS205" i="16"/>
  <c r="AS208" i="16"/>
  <c r="AU208" i="16"/>
  <c r="AU213" i="16"/>
  <c r="AS213" i="16"/>
  <c r="AS216" i="16"/>
  <c r="AU216" i="16"/>
  <c r="AU219" i="16"/>
  <c r="AS219" i="16"/>
  <c r="AS222" i="16"/>
  <c r="AU222" i="16"/>
  <c r="AU241" i="16"/>
  <c r="AS241" i="16"/>
  <c r="AS244" i="16"/>
  <c r="AU244" i="16"/>
  <c r="AU247" i="16"/>
  <c r="AS247" i="16"/>
  <c r="AU250" i="16"/>
  <c r="AS250" i="16"/>
  <c r="AU257" i="16"/>
  <c r="AS257" i="16"/>
  <c r="AU260" i="16"/>
  <c r="AS260" i="16"/>
  <c r="AU263" i="16"/>
  <c r="AS263" i="16"/>
  <c r="AU269" i="16"/>
  <c r="AS269" i="16"/>
  <c r="AU272" i="16"/>
  <c r="AS272" i="16"/>
  <c r="AU275" i="16"/>
  <c r="AS275" i="16"/>
  <c r="AU280" i="16"/>
  <c r="AS280" i="16"/>
  <c r="Z289" i="16"/>
  <c r="AP289" i="16" s="1"/>
  <c r="AU289" i="16" s="1"/>
  <c r="AT289" i="16"/>
  <c r="AS322" i="16"/>
  <c r="AU322" i="16"/>
  <c r="AU325" i="16"/>
  <c r="AS325" i="16"/>
  <c r="AU334" i="16"/>
  <c r="AS334" i="16"/>
  <c r="AU352" i="16"/>
  <c r="AS352" i="16"/>
  <c r="AA375" i="16"/>
  <c r="AQ375" i="16" s="1"/>
  <c r="AT375" i="16"/>
  <c r="AS392" i="16"/>
  <c r="AU392" i="16"/>
  <c r="AS395" i="16"/>
  <c r="AU395" i="16"/>
  <c r="AS400" i="16"/>
  <c r="AU400" i="16"/>
  <c r="AU408" i="16"/>
  <c r="AS408" i="16"/>
  <c r="AU419" i="16"/>
  <c r="AS419" i="16"/>
  <c r="AS448" i="16"/>
  <c r="AU448" i="16"/>
  <c r="AS451" i="16"/>
  <c r="AU451" i="16"/>
  <c r="AS454" i="16"/>
  <c r="AU454" i="16"/>
  <c r="AS457" i="16"/>
  <c r="AU457" i="16"/>
  <c r="AS462" i="16"/>
  <c r="AU462" i="16"/>
  <c r="AS465" i="16"/>
  <c r="AU465" i="16"/>
  <c r="AP82" i="16"/>
  <c r="AS82" i="16" s="1"/>
  <c r="E396" i="16"/>
  <c r="AQ343" i="16"/>
  <c r="AD78" i="16"/>
  <c r="AQ353" i="16"/>
  <c r="AP418" i="16"/>
  <c r="AS418" i="16" s="1"/>
  <c r="W396" i="16"/>
  <c r="AQ374" i="16"/>
  <c r="AQ277" i="16"/>
  <c r="AE396" i="16"/>
  <c r="AQ406" i="16"/>
  <c r="AQ459" i="16"/>
  <c r="AE103" i="16"/>
  <c r="AP72" i="16"/>
  <c r="AS72" i="16" s="1"/>
  <c r="AP388" i="16"/>
  <c r="AQ403" i="16"/>
  <c r="AQ425" i="16"/>
  <c r="AQ460" i="16"/>
  <c r="AE321" i="16"/>
  <c r="AQ300" i="16"/>
  <c r="AM471" i="16"/>
  <c r="D135" i="16"/>
  <c r="AT135" i="16" s="1"/>
  <c r="AP137" i="16"/>
  <c r="AQ211" i="16"/>
  <c r="AQ404" i="16"/>
  <c r="Z118" i="16"/>
  <c r="AP118" i="16" s="1"/>
  <c r="AP135" i="16" s="1"/>
  <c r="AQ373" i="16"/>
  <c r="AE471" i="16"/>
  <c r="Z165" i="16"/>
  <c r="AP165" i="16" s="1"/>
  <c r="AS165" i="16" s="1"/>
  <c r="D300" i="16"/>
  <c r="AT300" i="16" s="1"/>
  <c r="M396" i="16"/>
  <c r="AA359" i="16"/>
  <c r="AQ359" i="16" s="1"/>
  <c r="M344" i="16"/>
  <c r="S344" i="16"/>
  <c r="S472" i="16" s="1"/>
  <c r="Y344" i="16"/>
  <c r="Y472" i="16" s="1"/>
  <c r="AN344" i="16"/>
  <c r="AN472" i="16" s="1"/>
  <c r="T344" i="16"/>
  <c r="T472" i="16" s="1"/>
  <c r="AQ413" i="16"/>
  <c r="AG471" i="16"/>
  <c r="AQ445" i="16"/>
  <c r="G344" i="16"/>
  <c r="G472" i="16" s="1"/>
  <c r="AB344" i="16"/>
  <c r="AB472" i="16" s="1"/>
  <c r="AF344" i="16"/>
  <c r="AF472" i="16" s="1"/>
  <c r="AL344" i="16"/>
  <c r="AL472" i="16" s="1"/>
  <c r="AQ135" i="16"/>
  <c r="AP252" i="16"/>
  <c r="AP321" i="16"/>
  <c r="H344" i="16"/>
  <c r="H472" i="16" s="1"/>
  <c r="AQ78" i="16"/>
  <c r="Z252" i="16"/>
  <c r="Z59" i="16"/>
  <c r="AA78" i="16"/>
  <c r="Z65" i="16"/>
  <c r="AP65" i="16" s="1"/>
  <c r="AS65" i="16" s="1"/>
  <c r="AA156" i="16"/>
  <c r="AP397" i="16"/>
  <c r="AH103" i="16"/>
  <c r="AH344" i="16" s="1"/>
  <c r="AH472" i="16" s="1"/>
  <c r="AP83" i="16"/>
  <c r="AS83" i="16" s="1"/>
  <c r="N344" i="16"/>
  <c r="N472" i="16" s="1"/>
  <c r="Z156" i="16"/>
  <c r="P344" i="16"/>
  <c r="P472" i="16" s="1"/>
  <c r="AA58" i="16"/>
  <c r="AQ33" i="16"/>
  <c r="J5" i="9" s="1"/>
  <c r="D31" i="16"/>
  <c r="AT31" i="16" s="1"/>
  <c r="AQ9" i="16"/>
  <c r="J4" i="9" s="1"/>
  <c r="AA31" i="16"/>
  <c r="J344" i="16"/>
  <c r="J472" i="16" s="1"/>
  <c r="AK344" i="16"/>
  <c r="AK472" i="16" s="1"/>
  <c r="V58" i="16"/>
  <c r="V344" i="16" s="1"/>
  <c r="Z53" i="16"/>
  <c r="AP53" i="16" s="1"/>
  <c r="AP58" i="16" s="1"/>
  <c r="D103" i="16"/>
  <c r="AT103" i="16" s="1"/>
  <c r="AA135" i="16"/>
  <c r="AP187" i="16"/>
  <c r="AA300" i="16"/>
  <c r="I344" i="16"/>
  <c r="O344" i="16"/>
  <c r="O472" i="16" s="1"/>
  <c r="AG344" i="16"/>
  <c r="AM344" i="16"/>
  <c r="D156" i="16"/>
  <c r="AT156" i="16" s="1"/>
  <c r="Z235" i="16"/>
  <c r="AP212" i="16"/>
  <c r="AS212" i="16" s="1"/>
  <c r="AA235" i="16"/>
  <c r="AQ235" i="16" s="1"/>
  <c r="AA252" i="16"/>
  <c r="AQ238" i="16"/>
  <c r="J13" i="9" s="1"/>
  <c r="AE252" i="16"/>
  <c r="AA277" i="16"/>
  <c r="E344" i="16"/>
  <c r="K344" i="16"/>
  <c r="K472" i="16" s="1"/>
  <c r="Q344" i="16"/>
  <c r="Q472" i="16" s="1"/>
  <c r="W344" i="16"/>
  <c r="AC344" i="16"/>
  <c r="AC472" i="16" s="1"/>
  <c r="AI344" i="16"/>
  <c r="AI472" i="16" s="1"/>
  <c r="AO344" i="16"/>
  <c r="AO472" i="16" s="1"/>
  <c r="AP157" i="16"/>
  <c r="D211" i="16"/>
  <c r="AT211" i="16" s="1"/>
  <c r="Z194" i="16"/>
  <c r="AP194" i="16" s="1"/>
  <c r="AU194" i="16" s="1"/>
  <c r="F344" i="16"/>
  <c r="F472" i="16" s="1"/>
  <c r="L344" i="16"/>
  <c r="L472" i="16" s="1"/>
  <c r="R344" i="16"/>
  <c r="R472" i="16" s="1"/>
  <c r="X344" i="16"/>
  <c r="X472" i="16" s="1"/>
  <c r="AD344" i="16"/>
  <c r="AD472" i="16" s="1"/>
  <c r="AJ344" i="16"/>
  <c r="AJ472" i="16" s="1"/>
  <c r="AQ156" i="16"/>
  <c r="AA185" i="16"/>
  <c r="AQ157" i="16"/>
  <c r="J10" i="9" s="1"/>
  <c r="AA321" i="16"/>
  <c r="AQ301" i="16"/>
  <c r="J16" i="9" s="1"/>
  <c r="AP323" i="16"/>
  <c r="AU323" i="16" s="1"/>
  <c r="D396" i="16"/>
  <c r="Z349" i="16"/>
  <c r="AP349" i="16" s="1"/>
  <c r="AA211" i="16"/>
  <c r="U343" i="16"/>
  <c r="U344" i="16" s="1"/>
  <c r="U472" i="16" s="1"/>
  <c r="AA343" i="16"/>
  <c r="AA467" i="16"/>
  <c r="AQ467" i="16" s="1"/>
  <c r="I471" i="16"/>
  <c r="AQ398" i="16"/>
  <c r="AQ402" i="16"/>
  <c r="E471" i="16"/>
  <c r="AA411" i="16"/>
  <c r="AQ411" i="16" s="1"/>
  <c r="Z266" i="16"/>
  <c r="AP266" i="16" s="1"/>
  <c r="AP277" i="16" s="1"/>
  <c r="AP278" i="16"/>
  <c r="Z321" i="16"/>
  <c r="Z333" i="16"/>
  <c r="AP333" i="16" s="1"/>
  <c r="AU333" i="16" s="1"/>
  <c r="D343" i="16"/>
  <c r="AT343" i="16" s="1"/>
  <c r="V396" i="16"/>
  <c r="Z389" i="16"/>
  <c r="AP389" i="16" s="1"/>
  <c r="AS389" i="16" s="1"/>
  <c r="D471" i="16"/>
  <c r="Z469" i="16"/>
  <c r="AP469" i="16" s="1"/>
  <c r="AU469" i="16" s="1"/>
  <c r="AE457" i="1"/>
  <c r="AG458" i="1"/>
  <c r="E459" i="1"/>
  <c r="AA459" i="1" s="1"/>
  <c r="AQ459" i="1" s="1"/>
  <c r="Z458" i="1"/>
  <c r="AA458" i="1"/>
  <c r="Z459" i="1"/>
  <c r="AP459" i="1" s="1"/>
  <c r="I10" i="9" l="1"/>
  <c r="AS349" i="16"/>
  <c r="AU349" i="16"/>
  <c r="AS397" i="16"/>
  <c r="AU397" i="16"/>
  <c r="AP156" i="16"/>
  <c r="AU137" i="16"/>
  <c r="I8" i="9"/>
  <c r="AT471" i="16"/>
  <c r="I11" i="9"/>
  <c r="AS187" i="16"/>
  <c r="AU144" i="16"/>
  <c r="J18" i="9"/>
  <c r="AU187" i="16"/>
  <c r="AS194" i="16"/>
  <c r="AU21" i="16"/>
  <c r="I14" i="9"/>
  <c r="AS346" i="16"/>
  <c r="I18" i="9"/>
  <c r="AU346" i="16"/>
  <c r="AU389" i="16"/>
  <c r="AS114" i="16"/>
  <c r="AS469" i="16"/>
  <c r="AS88" i="16"/>
  <c r="I9" i="9"/>
  <c r="I4" i="9"/>
  <c r="AU65" i="16"/>
  <c r="AU72" i="16"/>
  <c r="I19" i="9"/>
  <c r="AU278" i="16"/>
  <c r="I15" i="9"/>
  <c r="I7" i="9"/>
  <c r="AP235" i="16"/>
  <c r="AS235" i="16" s="1"/>
  <c r="I12" i="9"/>
  <c r="AT344" i="16"/>
  <c r="Z300" i="16"/>
  <c r="AS199" i="16"/>
  <c r="AU165" i="16"/>
  <c r="I5" i="9"/>
  <c r="AS148" i="16"/>
  <c r="J19" i="9"/>
  <c r="I17" i="9"/>
  <c r="AS404" i="16"/>
  <c r="AU404" i="16"/>
  <c r="AS402" i="16"/>
  <c r="AU402" i="16"/>
  <c r="AS398" i="16"/>
  <c r="AU398" i="16"/>
  <c r="AQ58" i="16"/>
  <c r="AS33" i="16"/>
  <c r="AU33" i="16"/>
  <c r="AS425" i="16"/>
  <c r="AU425" i="16"/>
  <c r="AS406" i="16"/>
  <c r="AU406" i="16"/>
  <c r="AU353" i="16"/>
  <c r="AS353" i="16"/>
  <c r="AS422" i="16"/>
  <c r="AU422" i="16"/>
  <c r="AU83" i="16"/>
  <c r="AS137" i="16"/>
  <c r="AU418" i="16"/>
  <c r="AS460" i="16"/>
  <c r="AU460" i="16"/>
  <c r="AP300" i="16"/>
  <c r="AU300" i="16" s="1"/>
  <c r="AS156" i="16"/>
  <c r="AU156" i="16"/>
  <c r="AS445" i="16"/>
  <c r="AU445" i="16"/>
  <c r="AU403" i="16"/>
  <c r="AS403" i="16"/>
  <c r="AU53" i="16"/>
  <c r="AS333" i="16"/>
  <c r="AS323" i="16"/>
  <c r="AS289" i="16"/>
  <c r="AS278" i="16"/>
  <c r="AS157" i="16"/>
  <c r="AU157" i="16"/>
  <c r="AU467" i="16"/>
  <c r="AS467" i="16"/>
  <c r="AU238" i="16"/>
  <c r="AS238" i="16"/>
  <c r="AP31" i="16"/>
  <c r="AS135" i="16"/>
  <c r="AU135" i="16"/>
  <c r="AU373" i="16"/>
  <c r="AS373" i="16"/>
  <c r="AU277" i="16"/>
  <c r="AS277" i="16"/>
  <c r="AU375" i="16"/>
  <c r="AS375" i="16"/>
  <c r="AS266" i="16"/>
  <c r="AS53" i="16"/>
  <c r="AU82" i="16"/>
  <c r="AU118" i="16"/>
  <c r="AS360" i="16"/>
  <c r="AU360" i="16"/>
  <c r="AU19" i="16"/>
  <c r="AS9" i="16"/>
  <c r="AU9" i="16"/>
  <c r="AS459" i="16"/>
  <c r="AU459" i="16"/>
  <c r="W472" i="16"/>
  <c r="Z31" i="16"/>
  <c r="AU411" i="16"/>
  <c r="AS411" i="16"/>
  <c r="AU301" i="16"/>
  <c r="AS301" i="16"/>
  <c r="AU413" i="16"/>
  <c r="AS413" i="16"/>
  <c r="AS359" i="16"/>
  <c r="AU359" i="16"/>
  <c r="AS300" i="16"/>
  <c r="AS374" i="16"/>
  <c r="AU374" i="16"/>
  <c r="AT396" i="16"/>
  <c r="AU266" i="16"/>
  <c r="AU388" i="16"/>
  <c r="AS388" i="16"/>
  <c r="AS118" i="16"/>
  <c r="AU212" i="16"/>
  <c r="AA396" i="16"/>
  <c r="AG472" i="16"/>
  <c r="AE344" i="16"/>
  <c r="AE472" i="16" s="1"/>
  <c r="AP396" i="16"/>
  <c r="AQ396" i="16"/>
  <c r="AM472" i="16"/>
  <c r="AP211" i="16"/>
  <c r="AU211" i="16" s="1"/>
  <c r="Z58" i="16"/>
  <c r="Z185" i="16"/>
  <c r="M472" i="16"/>
  <c r="AP185" i="16"/>
  <c r="AQ103" i="16"/>
  <c r="Z211" i="16"/>
  <c r="V472" i="16"/>
  <c r="AQ31" i="16"/>
  <c r="AQ321" i="16"/>
  <c r="Z103" i="16"/>
  <c r="Z135" i="16"/>
  <c r="AP471" i="16"/>
  <c r="AQ185" i="16"/>
  <c r="Z277" i="16"/>
  <c r="Z396" i="16"/>
  <c r="AP103" i="16"/>
  <c r="AP343" i="16"/>
  <c r="AS343" i="16" s="1"/>
  <c r="AQ252" i="16"/>
  <c r="E472" i="16"/>
  <c r="Z471" i="16"/>
  <c r="AA103" i="16"/>
  <c r="AA344" i="16" s="1"/>
  <c r="AQ471" i="16"/>
  <c r="Z78" i="16"/>
  <c r="AP59" i="16"/>
  <c r="I6" i="9" s="1"/>
  <c r="AA471" i="16"/>
  <c r="D344" i="16"/>
  <c r="D472" i="16" s="1"/>
  <c r="Z343" i="16"/>
  <c r="I472" i="16"/>
  <c r="AG557" i="1"/>
  <c r="AE557" i="1"/>
  <c r="M557" i="1"/>
  <c r="I557" i="1"/>
  <c r="AS471" i="16" l="1"/>
  <c r="AU471" i="16"/>
  <c r="AU235" i="16"/>
  <c r="AA557" i="1"/>
  <c r="AQ557" i="1" s="1"/>
  <c r="AS103" i="16"/>
  <c r="AU103" i="16"/>
  <c r="AU343" i="16"/>
  <c r="AS58" i="16"/>
  <c r="AU58" i="16"/>
  <c r="AS396" i="16"/>
  <c r="AU396" i="16"/>
  <c r="AU252" i="16"/>
  <c r="AS252" i="16"/>
  <c r="AU321" i="16"/>
  <c r="AS321" i="16"/>
  <c r="AP78" i="16"/>
  <c r="AP344" i="16" s="1"/>
  <c r="AP472" i="16" s="1"/>
  <c r="AU59" i="16"/>
  <c r="AS59" i="16"/>
  <c r="AS31" i="16"/>
  <c r="AU31" i="16"/>
  <c r="AS211" i="16"/>
  <c r="AT472" i="16"/>
  <c r="AU185" i="16"/>
  <c r="AS185" i="16"/>
  <c r="AA472" i="16"/>
  <c r="AQ344" i="16"/>
  <c r="Z344" i="16"/>
  <c r="Z472" i="16" s="1"/>
  <c r="U405" i="1"/>
  <c r="AS78" i="16" l="1"/>
  <c r="AS344" i="16" s="1"/>
  <c r="AU78" i="16"/>
  <c r="AU344" i="16" s="1"/>
  <c r="AQ472" i="16"/>
  <c r="Z63" i="1"/>
  <c r="AP63" i="1" s="1"/>
  <c r="AA63" i="1"/>
  <c r="AQ63" i="1" s="1"/>
  <c r="Z64" i="1"/>
  <c r="AA64" i="1"/>
  <c r="W475" i="1"/>
  <c r="V475" i="1"/>
  <c r="C38" i="10"/>
  <c r="Z331" i="1"/>
  <c r="AP331" i="1" s="1"/>
  <c r="AA331" i="1"/>
  <c r="AQ331" i="1" s="1"/>
  <c r="E474" i="1"/>
  <c r="S33" i="10"/>
  <c r="S34" i="10"/>
  <c r="AS472" i="16" l="1"/>
  <c r="AU472" i="16"/>
  <c r="M432" i="1"/>
  <c r="AB37" i="1" l="1"/>
  <c r="Z132" i="1"/>
  <c r="Z133" i="1"/>
  <c r="AA130" i="1"/>
  <c r="AQ130" i="1" s="1"/>
  <c r="AA131" i="1"/>
  <c r="AQ131" i="1" s="1"/>
  <c r="AA132" i="1"/>
  <c r="AQ132" i="1" s="1"/>
  <c r="AA133" i="1"/>
  <c r="AQ133" i="1" s="1"/>
  <c r="AA134" i="1"/>
  <c r="AQ134" i="1" s="1"/>
  <c r="AA135" i="1"/>
  <c r="AQ135" i="1" s="1"/>
  <c r="AA136" i="1"/>
  <c r="AQ136" i="1" s="1"/>
  <c r="AA137" i="1"/>
  <c r="AQ137" i="1" s="1"/>
  <c r="AA138" i="1"/>
  <c r="AQ138" i="1" s="1"/>
  <c r="AA139" i="1"/>
  <c r="AQ139" i="1" s="1"/>
  <c r="AA140" i="1"/>
  <c r="AQ140" i="1" s="1"/>
  <c r="AA141" i="1"/>
  <c r="AQ141" i="1" s="1"/>
  <c r="AA142" i="1"/>
  <c r="AQ142" i="1" s="1"/>
  <c r="AA143" i="1"/>
  <c r="AQ143" i="1" s="1"/>
  <c r="AA144" i="1"/>
  <c r="AQ144" i="1" s="1"/>
  <c r="AA145" i="1"/>
  <c r="AQ145" i="1" s="1"/>
  <c r="AA146" i="1"/>
  <c r="AQ146" i="1" s="1"/>
  <c r="AA147" i="1"/>
  <c r="AQ147" i="1" s="1"/>
  <c r="AA148" i="1"/>
  <c r="AQ148" i="1" s="1"/>
  <c r="AA149" i="1"/>
  <c r="AQ149" i="1" s="1"/>
  <c r="AA150" i="1"/>
  <c r="AQ150" i="1" s="1"/>
  <c r="AA151" i="1"/>
  <c r="AQ151" i="1" s="1"/>
  <c r="AA152" i="1"/>
  <c r="AQ152" i="1" s="1"/>
  <c r="AA153" i="1"/>
  <c r="AQ153" i="1" s="1"/>
  <c r="AA154" i="1"/>
  <c r="AQ154" i="1" s="1"/>
  <c r="AA155" i="1"/>
  <c r="AQ155" i="1" s="1"/>
  <c r="AA156" i="1"/>
  <c r="AQ156" i="1" s="1"/>
  <c r="AA157" i="1"/>
  <c r="AA158" i="1"/>
  <c r="AQ158" i="1" s="1"/>
  <c r="AA159" i="1"/>
  <c r="AQ159" i="1" s="1"/>
  <c r="AA160" i="1"/>
  <c r="AQ160" i="1" s="1"/>
  <c r="AA161" i="1"/>
  <c r="AQ161" i="1" s="1"/>
  <c r="AA162" i="1"/>
  <c r="AQ162" i="1" s="1"/>
  <c r="AA163" i="1"/>
  <c r="AQ163" i="1" s="1"/>
  <c r="AA164" i="1"/>
  <c r="AQ164" i="1" s="1"/>
  <c r="AA165" i="1"/>
  <c r="AQ165" i="1" s="1"/>
  <c r="AA98" i="1"/>
  <c r="AQ98" i="1" s="1"/>
  <c r="AA99" i="1"/>
  <c r="AQ99" i="1" s="1"/>
  <c r="AA100" i="1"/>
  <c r="AA101" i="1"/>
  <c r="AA102" i="1"/>
  <c r="AQ102" i="1" s="1"/>
  <c r="AA103" i="1"/>
  <c r="AQ103" i="1" s="1"/>
  <c r="AA104" i="1"/>
  <c r="AQ104" i="1" s="1"/>
  <c r="AA105" i="1"/>
  <c r="AQ105" i="1" s="1"/>
  <c r="AA106" i="1"/>
  <c r="AQ106" i="1" s="1"/>
  <c r="AA107" i="1"/>
  <c r="AQ107" i="1" s="1"/>
  <c r="AA108" i="1"/>
  <c r="AQ108" i="1" s="1"/>
  <c r="AA109" i="1"/>
  <c r="AQ109" i="1" s="1"/>
  <c r="AA110" i="1"/>
  <c r="AQ110" i="1" s="1"/>
  <c r="AA111" i="1"/>
  <c r="AQ111" i="1" s="1"/>
  <c r="AA112" i="1"/>
  <c r="AQ112" i="1" s="1"/>
  <c r="AA113" i="1"/>
  <c r="AQ113" i="1" s="1"/>
  <c r="AA114" i="1"/>
  <c r="AQ114" i="1" s="1"/>
  <c r="AA115" i="1"/>
  <c r="AQ115" i="1" s="1"/>
  <c r="AA116" i="1"/>
  <c r="AQ116" i="1" s="1"/>
  <c r="AA117" i="1"/>
  <c r="AQ117" i="1" s="1"/>
  <c r="AA120" i="1"/>
  <c r="AQ120" i="1" s="1"/>
  <c r="AA121" i="1"/>
  <c r="AQ121" i="1" s="1"/>
  <c r="AA122" i="1"/>
  <c r="AQ122" i="1" s="1"/>
  <c r="AA123" i="1"/>
  <c r="AQ123" i="1" s="1"/>
  <c r="AA124" i="1"/>
  <c r="AQ124" i="1" s="1"/>
  <c r="AA125" i="1"/>
  <c r="AQ125" i="1" s="1"/>
  <c r="AA126" i="1"/>
  <c r="AQ126" i="1" s="1"/>
  <c r="AA127" i="1"/>
  <c r="AQ127" i="1" s="1"/>
  <c r="AA95" i="1"/>
  <c r="AQ95" i="1" s="1"/>
  <c r="AA72" i="1"/>
  <c r="AQ72" i="1" s="1"/>
  <c r="AA73" i="1"/>
  <c r="AQ73" i="1" s="1"/>
  <c r="AA74" i="1"/>
  <c r="AQ74" i="1" s="1"/>
  <c r="AA75" i="1"/>
  <c r="AQ75" i="1" s="1"/>
  <c r="AA76" i="1"/>
  <c r="AQ76" i="1" s="1"/>
  <c r="AA77" i="1"/>
  <c r="AQ77" i="1" s="1"/>
  <c r="AA78" i="1"/>
  <c r="AQ78" i="1" s="1"/>
  <c r="AA79" i="1"/>
  <c r="AQ79" i="1" s="1"/>
  <c r="AA80" i="1"/>
  <c r="AQ80" i="1" s="1"/>
  <c r="AA81" i="1"/>
  <c r="AQ81" i="1" s="1"/>
  <c r="AA82" i="1"/>
  <c r="AQ82" i="1" s="1"/>
  <c r="AA83" i="1"/>
  <c r="AQ83" i="1" s="1"/>
  <c r="AA84" i="1"/>
  <c r="AQ84" i="1" s="1"/>
  <c r="AA85" i="1"/>
  <c r="AQ85" i="1" s="1"/>
  <c r="AA86" i="1"/>
  <c r="AQ86" i="1" s="1"/>
  <c r="AA87" i="1"/>
  <c r="AQ87" i="1" s="1"/>
  <c r="AA88" i="1"/>
  <c r="AQ88" i="1" s="1"/>
  <c r="AA89" i="1"/>
  <c r="AQ89" i="1" s="1"/>
  <c r="AA90" i="1"/>
  <c r="AQ90" i="1" s="1"/>
  <c r="AA91" i="1"/>
  <c r="AQ91" i="1" s="1"/>
  <c r="AA92" i="1"/>
  <c r="AQ92" i="1" s="1"/>
  <c r="AA93" i="1"/>
  <c r="AQ93" i="1" s="1"/>
  <c r="AA94" i="1"/>
  <c r="AQ94" i="1" s="1"/>
  <c r="AA39" i="1"/>
  <c r="AQ39" i="1" s="1"/>
  <c r="AA40" i="1"/>
  <c r="AQ40" i="1" s="1"/>
  <c r="AA41" i="1"/>
  <c r="AQ41" i="1" s="1"/>
  <c r="AA42" i="1"/>
  <c r="AQ42" i="1" s="1"/>
  <c r="AA43" i="1"/>
  <c r="AQ43" i="1" s="1"/>
  <c r="AA44" i="1"/>
  <c r="AQ44" i="1" s="1"/>
  <c r="AA45" i="1"/>
  <c r="AQ45" i="1" s="1"/>
  <c r="AA46" i="1"/>
  <c r="AQ46" i="1" s="1"/>
  <c r="AA47" i="1"/>
  <c r="AQ47" i="1" s="1"/>
  <c r="AA48" i="1"/>
  <c r="AQ48" i="1" s="1"/>
  <c r="AA49" i="1"/>
  <c r="AQ49" i="1" s="1"/>
  <c r="AA50" i="1"/>
  <c r="AQ50" i="1" s="1"/>
  <c r="AA51" i="1"/>
  <c r="AQ51" i="1" s="1"/>
  <c r="AA52" i="1"/>
  <c r="AQ52" i="1" s="1"/>
  <c r="AA53" i="1"/>
  <c r="AQ53" i="1" s="1"/>
  <c r="AA54" i="1"/>
  <c r="AQ54" i="1" s="1"/>
  <c r="AA55" i="1"/>
  <c r="AQ55" i="1" s="1"/>
  <c r="AA56" i="1"/>
  <c r="AQ56" i="1" s="1"/>
  <c r="AA57" i="1"/>
  <c r="AQ57" i="1" s="1"/>
  <c r="AA58" i="1"/>
  <c r="AQ58" i="1" s="1"/>
  <c r="AA59" i="1"/>
  <c r="AQ59" i="1" s="1"/>
  <c r="AA60" i="1"/>
  <c r="AQ60" i="1" s="1"/>
  <c r="AA61" i="1"/>
  <c r="AQ61" i="1" s="1"/>
  <c r="AA62" i="1"/>
  <c r="AQ62" i="1" s="1"/>
  <c r="AQ64" i="1"/>
  <c r="AA65" i="1"/>
  <c r="AQ65" i="1" s="1"/>
  <c r="AA66" i="1"/>
  <c r="AQ66" i="1" s="1"/>
  <c r="AA67" i="1"/>
  <c r="AQ67" i="1" s="1"/>
  <c r="AA68" i="1"/>
  <c r="AQ68" i="1" s="1"/>
  <c r="AA69" i="1"/>
  <c r="AQ69" i="1" s="1"/>
  <c r="AA9" i="1"/>
  <c r="AQ9" i="1" s="1"/>
  <c r="AA10" i="1"/>
  <c r="AA11" i="1"/>
  <c r="AQ11" i="1" s="1"/>
  <c r="AA12" i="1"/>
  <c r="AQ12" i="1" s="1"/>
  <c r="AA13" i="1"/>
  <c r="AQ13" i="1" s="1"/>
  <c r="AA14" i="1"/>
  <c r="AQ14" i="1" s="1"/>
  <c r="AA15" i="1"/>
  <c r="AQ15" i="1" s="1"/>
  <c r="AA16" i="1"/>
  <c r="AQ16" i="1" s="1"/>
  <c r="AA17" i="1"/>
  <c r="AQ17" i="1" s="1"/>
  <c r="AA18" i="1"/>
  <c r="AQ18" i="1" s="1"/>
  <c r="AA19" i="1"/>
  <c r="AQ19" i="1" s="1"/>
  <c r="AA20" i="1"/>
  <c r="AQ20" i="1" s="1"/>
  <c r="AA21" i="1"/>
  <c r="AQ21" i="1" s="1"/>
  <c r="AA22" i="1"/>
  <c r="AQ22" i="1" s="1"/>
  <c r="AA23" i="1"/>
  <c r="AQ23" i="1" s="1"/>
  <c r="AA24" i="1"/>
  <c r="AQ24" i="1" s="1"/>
  <c r="AA25" i="1"/>
  <c r="AQ25" i="1" s="1"/>
  <c r="AA26" i="1"/>
  <c r="AQ26" i="1" s="1"/>
  <c r="AA27" i="1"/>
  <c r="AQ27" i="1" s="1"/>
  <c r="AA28" i="1"/>
  <c r="AQ28" i="1" s="1"/>
  <c r="AA29" i="1"/>
  <c r="AQ29" i="1" s="1"/>
  <c r="AA30" i="1"/>
  <c r="AQ30" i="1" s="1"/>
  <c r="AA31" i="1"/>
  <c r="AQ31" i="1" s="1"/>
  <c r="AA32" i="1"/>
  <c r="AQ32" i="1" s="1"/>
  <c r="AA33" i="1"/>
  <c r="AQ33" i="1" s="1"/>
  <c r="AA34" i="1"/>
  <c r="AQ34" i="1" s="1"/>
  <c r="AA35" i="1"/>
  <c r="AQ35" i="1" s="1"/>
  <c r="AA36" i="1"/>
  <c r="AQ36" i="1" s="1"/>
  <c r="AA485" i="1"/>
  <c r="AB70" i="1" l="1"/>
  <c r="AB96" i="1" l="1"/>
  <c r="K15" i="9"/>
  <c r="L15" i="9" s="1"/>
  <c r="F44" i="8"/>
  <c r="F43" i="8"/>
  <c r="F42" i="8"/>
  <c r="D435" i="11"/>
  <c r="D436" i="11"/>
  <c r="D439" i="11"/>
  <c r="F132" i="9"/>
  <c r="AB128" i="1" l="1"/>
  <c r="K6" i="9"/>
  <c r="L6" i="9" s="1"/>
  <c r="K14" i="9"/>
  <c r="L14" i="9" s="1"/>
  <c r="K8" i="9"/>
  <c r="L8" i="9" s="1"/>
  <c r="K7" i="9"/>
  <c r="L7" i="9" s="1"/>
  <c r="K19" i="9"/>
  <c r="L19" i="9" s="1"/>
  <c r="K13" i="9"/>
  <c r="L13" i="9" s="1"/>
  <c r="K12" i="9"/>
  <c r="L12" i="9" s="1"/>
  <c r="K16" i="9"/>
  <c r="L16" i="9" s="1"/>
  <c r="J20" i="9"/>
  <c r="K9" i="9"/>
  <c r="L9" i="9" s="1"/>
  <c r="K5" i="9"/>
  <c r="L5" i="9" s="1"/>
  <c r="K18" i="9"/>
  <c r="L18" i="9" s="1"/>
  <c r="K10" i="9"/>
  <c r="L10" i="9" s="1"/>
  <c r="I20" i="9"/>
  <c r="K11" i="9"/>
  <c r="L11" i="9" s="1"/>
  <c r="K17" i="9"/>
  <c r="L17" i="9" s="1"/>
  <c r="K4" i="9"/>
  <c r="S14" i="10"/>
  <c r="AE432" i="1"/>
  <c r="AG492" i="1"/>
  <c r="AQ492" i="1" s="1"/>
  <c r="AB166" i="1" l="1"/>
  <c r="K20" i="9"/>
  <c r="L20" i="9" s="1"/>
  <c r="L4" i="9"/>
  <c r="AE386" i="1"/>
  <c r="AB261" i="1" l="1"/>
  <c r="AB229" i="1"/>
  <c r="AB193" i="1"/>
  <c r="AE233" i="1"/>
  <c r="AB287" i="1" l="1"/>
  <c r="E439" i="1"/>
  <c r="AP132" i="1" l="1"/>
  <c r="AE171" i="1" l="1"/>
  <c r="AE387" i="1" l="1"/>
  <c r="B75" i="9" l="1"/>
  <c r="B76" i="9"/>
  <c r="B77" i="9"/>
  <c r="B78" i="9"/>
  <c r="B79" i="9"/>
  <c r="B80" i="9"/>
  <c r="B81" i="9"/>
  <c r="B74" i="9"/>
  <c r="B73" i="9" l="1"/>
  <c r="AE101" i="1"/>
  <c r="AQ101" i="1" s="1"/>
  <c r="AE100" i="1"/>
  <c r="AQ100" i="1" s="1"/>
  <c r="I29" i="9" l="1"/>
  <c r="J29" i="9" s="1"/>
  <c r="E119" i="1"/>
  <c r="AA119" i="1" s="1"/>
  <c r="AQ119" i="1" s="1"/>
  <c r="E118" i="1"/>
  <c r="AA118" i="1" s="1"/>
  <c r="AQ118" i="1" s="1"/>
  <c r="E37" i="1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7" i="9"/>
  <c r="F168" i="9"/>
  <c r="F169" i="9"/>
  <c r="F170" i="9"/>
  <c r="F171" i="9"/>
  <c r="G555" i="11"/>
  <c r="G131" i="9"/>
  <c r="F555" i="11"/>
  <c r="F480" i="11"/>
  <c r="G480" i="11"/>
  <c r="N555" i="11" l="1"/>
  <c r="N480" i="11"/>
  <c r="E70" i="1"/>
  <c r="I37" i="9"/>
  <c r="J37" i="9" s="1"/>
  <c r="I28" i="9"/>
  <c r="J28" i="9" s="1"/>
  <c r="I35" i="9"/>
  <c r="J35" i="9" s="1"/>
  <c r="I33" i="9"/>
  <c r="J33" i="9" s="1"/>
  <c r="I32" i="9"/>
  <c r="J32" i="9" s="1"/>
  <c r="I34" i="9"/>
  <c r="J34" i="9" s="1"/>
  <c r="I43" i="9"/>
  <c r="J43" i="9" s="1"/>
  <c r="I38" i="9"/>
  <c r="J38" i="9" s="1"/>
  <c r="I31" i="9"/>
  <c r="J31" i="9" s="1"/>
  <c r="I42" i="9"/>
  <c r="J42" i="9" s="1"/>
  <c r="I30" i="9"/>
  <c r="J30" i="9" s="1"/>
  <c r="I41" i="9"/>
  <c r="J41" i="9" s="1"/>
  <c r="I36" i="9"/>
  <c r="J36" i="9" s="1"/>
  <c r="H44" i="9"/>
  <c r="I40" i="9"/>
  <c r="J40" i="9" s="1"/>
  <c r="I39" i="9"/>
  <c r="J39" i="9" s="1"/>
  <c r="E133" i="9"/>
  <c r="G133" i="9" s="1"/>
  <c r="E134" i="9"/>
  <c r="G134" i="9" s="1"/>
  <c r="E135" i="9"/>
  <c r="G135" i="9" s="1"/>
  <c r="E136" i="9"/>
  <c r="G136" i="9" s="1"/>
  <c r="E137" i="9"/>
  <c r="G137" i="9" s="1"/>
  <c r="E138" i="9"/>
  <c r="G138" i="9" s="1"/>
  <c r="E139" i="9"/>
  <c r="G139" i="9" s="1"/>
  <c r="E140" i="9"/>
  <c r="G140" i="9" s="1"/>
  <c r="E141" i="9"/>
  <c r="G141" i="9" s="1"/>
  <c r="E142" i="9"/>
  <c r="G142" i="9" s="1"/>
  <c r="E143" i="9"/>
  <c r="G143" i="9" s="1"/>
  <c r="E144" i="9"/>
  <c r="G144" i="9" s="1"/>
  <c r="E145" i="9"/>
  <c r="G145" i="9" s="1"/>
  <c r="E146" i="9"/>
  <c r="G146" i="9" s="1"/>
  <c r="E147" i="9"/>
  <c r="G147" i="9" s="1"/>
  <c r="E148" i="9"/>
  <c r="G148" i="9" s="1"/>
  <c r="E149" i="9"/>
  <c r="G149" i="9" s="1"/>
  <c r="E150" i="9"/>
  <c r="G150" i="9" s="1"/>
  <c r="E151" i="9"/>
  <c r="G151" i="9" s="1"/>
  <c r="E152" i="9"/>
  <c r="G152" i="9" s="1"/>
  <c r="E153" i="9"/>
  <c r="G153" i="9" s="1"/>
  <c r="E154" i="9"/>
  <c r="G154" i="9" s="1"/>
  <c r="E155" i="9"/>
  <c r="G155" i="9" s="1"/>
  <c r="E156" i="9"/>
  <c r="G156" i="9" s="1"/>
  <c r="E157" i="9"/>
  <c r="G157" i="9" s="1"/>
  <c r="E158" i="9"/>
  <c r="G158" i="9" s="1"/>
  <c r="E159" i="9"/>
  <c r="G159" i="9" s="1"/>
  <c r="E160" i="9"/>
  <c r="G160" i="9" s="1"/>
  <c r="E161" i="9"/>
  <c r="G161" i="9" s="1"/>
  <c r="G163" i="9"/>
  <c r="G164" i="9"/>
  <c r="G165" i="9"/>
  <c r="G166" i="9"/>
  <c r="E167" i="9"/>
  <c r="G167" i="9" s="1"/>
  <c r="E168" i="9"/>
  <c r="G168" i="9" s="1"/>
  <c r="E169" i="9"/>
  <c r="G169" i="9" s="1"/>
  <c r="E170" i="9"/>
  <c r="G170" i="9" s="1"/>
  <c r="E171" i="9"/>
  <c r="G171" i="9" s="1"/>
  <c r="E132" i="9"/>
  <c r="E415" i="11"/>
  <c r="F415" i="11"/>
  <c r="G415" i="11"/>
  <c r="E387" i="11"/>
  <c r="F387" i="11"/>
  <c r="G387" i="11"/>
  <c r="F364" i="11"/>
  <c r="G364" i="11"/>
  <c r="G319" i="11"/>
  <c r="E334" i="11"/>
  <c r="F319" i="11"/>
  <c r="E162" i="9" s="1"/>
  <c r="F304" i="11"/>
  <c r="G304" i="11"/>
  <c r="F285" i="11"/>
  <c r="G285" i="11"/>
  <c r="F259" i="11"/>
  <c r="G259" i="11"/>
  <c r="N259" i="11" s="1"/>
  <c r="D227" i="11"/>
  <c r="F227" i="11"/>
  <c r="G227" i="11"/>
  <c r="F191" i="11"/>
  <c r="G191" i="11"/>
  <c r="F164" i="11"/>
  <c r="G164" i="11"/>
  <c r="G127" i="11"/>
  <c r="F127" i="11"/>
  <c r="E95" i="11"/>
  <c r="F95" i="11"/>
  <c r="G95" i="11"/>
  <c r="N95" i="11" s="1"/>
  <c r="D69" i="11"/>
  <c r="E69" i="11"/>
  <c r="F69" i="11"/>
  <c r="G69" i="11"/>
  <c r="D37" i="11"/>
  <c r="F37" i="11"/>
  <c r="G37" i="11"/>
  <c r="D505" i="11"/>
  <c r="D415" i="11"/>
  <c r="D387" i="11"/>
  <c r="D364" i="11"/>
  <c r="D304" i="11"/>
  <c r="D259" i="11"/>
  <c r="D164" i="11"/>
  <c r="D118" i="11"/>
  <c r="D117" i="11"/>
  <c r="D95" i="11"/>
  <c r="AE198" i="1"/>
  <c r="N191" i="11" l="1"/>
  <c r="N227" i="11"/>
  <c r="N364" i="11"/>
  <c r="N304" i="11"/>
  <c r="N387" i="11"/>
  <c r="N127" i="11"/>
  <c r="N37" i="11"/>
  <c r="N164" i="11"/>
  <c r="N69" i="11"/>
  <c r="N285" i="11"/>
  <c r="N415" i="11"/>
  <c r="E96" i="1"/>
  <c r="E128" i="1"/>
  <c r="G334" i="11"/>
  <c r="F162" i="9"/>
  <c r="F172" i="9" s="1"/>
  <c r="E416" i="11"/>
  <c r="G44" i="9"/>
  <c r="I44" i="9"/>
  <c r="G132" i="9"/>
  <c r="E172" i="9"/>
  <c r="F334" i="11"/>
  <c r="F416" i="11" s="1"/>
  <c r="F556" i="11" s="1"/>
  <c r="D555" i="11"/>
  <c r="D127" i="11"/>
  <c r="D480" i="11"/>
  <c r="D191" i="11"/>
  <c r="D285" i="11"/>
  <c r="D334" i="11"/>
  <c r="G416" i="11" l="1"/>
  <c r="N334" i="11"/>
  <c r="J44" i="9"/>
  <c r="E166" i="1"/>
  <c r="G162" i="9"/>
  <c r="G172" i="9" s="1"/>
  <c r="D416" i="11"/>
  <c r="D556" i="11" s="1"/>
  <c r="AE157" i="1"/>
  <c r="AQ157" i="1" s="1"/>
  <c r="G556" i="11" l="1"/>
  <c r="H556" i="11" s="1"/>
  <c r="N416" i="11"/>
  <c r="E193" i="1"/>
  <c r="E229" i="1"/>
  <c r="F33" i="8"/>
  <c r="F38" i="8"/>
  <c r="F69" i="8"/>
  <c r="F40" i="8"/>
  <c r="AA421" i="1"/>
  <c r="AQ421" i="1" s="1"/>
  <c r="Z422" i="1"/>
  <c r="AP422" i="1" s="1"/>
  <c r="AA422" i="1"/>
  <c r="Z423" i="1"/>
  <c r="AP423" i="1" s="1"/>
  <c r="AA423" i="1"/>
  <c r="Z424" i="1"/>
  <c r="AP424" i="1" s="1"/>
  <c r="AA424" i="1"/>
  <c r="AQ424" i="1" s="1"/>
  <c r="AA425" i="1"/>
  <c r="AQ425" i="1" s="1"/>
  <c r="Z426" i="1"/>
  <c r="AP426" i="1" s="1"/>
  <c r="AA426" i="1"/>
  <c r="Z427" i="1"/>
  <c r="AP427" i="1" s="1"/>
  <c r="AA427" i="1"/>
  <c r="Z428" i="1"/>
  <c r="AP428" i="1" s="1"/>
  <c r="AA428" i="1"/>
  <c r="AQ428" i="1" s="1"/>
  <c r="AA429" i="1"/>
  <c r="AQ429" i="1" s="1"/>
  <c r="Z430" i="1"/>
  <c r="AP430" i="1" s="1"/>
  <c r="AA430" i="1"/>
  <c r="Z431" i="1"/>
  <c r="AP431" i="1" s="1"/>
  <c r="AA431" i="1"/>
  <c r="Z432" i="1"/>
  <c r="AP432" i="1" s="1"/>
  <c r="Z433" i="1"/>
  <c r="AP433" i="1" s="1"/>
  <c r="AA433" i="1"/>
  <c r="AQ433" i="1" s="1"/>
  <c r="Z434" i="1"/>
  <c r="AP434" i="1" s="1"/>
  <c r="AA434" i="1"/>
  <c r="Z435" i="1"/>
  <c r="AP435" i="1" s="1"/>
  <c r="AA435" i="1"/>
  <c r="Z436" i="1"/>
  <c r="AP436" i="1" s="1"/>
  <c r="AA436" i="1"/>
  <c r="AQ436" i="1" s="1"/>
  <c r="Z437" i="1"/>
  <c r="AP437" i="1" s="1"/>
  <c r="AA437" i="1"/>
  <c r="AQ437" i="1" s="1"/>
  <c r="Z439" i="1"/>
  <c r="AP439" i="1" s="1"/>
  <c r="Z440" i="1"/>
  <c r="AP440" i="1" s="1"/>
  <c r="AA440" i="1"/>
  <c r="AQ440" i="1" s="1"/>
  <c r="Z441" i="1"/>
  <c r="AP441" i="1" s="1"/>
  <c r="AA441" i="1"/>
  <c r="AQ441" i="1" s="1"/>
  <c r="Z443" i="1"/>
  <c r="AP443" i="1" s="1"/>
  <c r="AA443" i="1"/>
  <c r="AQ443" i="1" s="1"/>
  <c r="Z444" i="1"/>
  <c r="AP444" i="1" s="1"/>
  <c r="AA444" i="1"/>
  <c r="AQ444" i="1" s="1"/>
  <c r="Z445" i="1"/>
  <c r="AP445" i="1" s="1"/>
  <c r="AA445" i="1"/>
  <c r="Z446" i="1"/>
  <c r="AP446" i="1" s="1"/>
  <c r="AA446" i="1"/>
  <c r="AQ446" i="1" s="1"/>
  <c r="Z447" i="1"/>
  <c r="AP447" i="1" s="1"/>
  <c r="AA447" i="1"/>
  <c r="AQ447" i="1" s="1"/>
  <c r="Z448" i="1"/>
  <c r="AP448" i="1" s="1"/>
  <c r="AA448" i="1"/>
  <c r="AQ448" i="1" s="1"/>
  <c r="Z449" i="1"/>
  <c r="AP449" i="1" s="1"/>
  <c r="AA449" i="1"/>
  <c r="Z450" i="1"/>
  <c r="AP450" i="1" s="1"/>
  <c r="AA450" i="1"/>
  <c r="AQ450" i="1" s="1"/>
  <c r="Z451" i="1"/>
  <c r="AP451" i="1" s="1"/>
  <c r="AA451" i="1"/>
  <c r="AQ451" i="1" s="1"/>
  <c r="Z452" i="1"/>
  <c r="AP452" i="1" s="1"/>
  <c r="AA452" i="1"/>
  <c r="Z453" i="1"/>
  <c r="AP453" i="1" s="1"/>
  <c r="AA453" i="1"/>
  <c r="AQ453" i="1" s="1"/>
  <c r="Z454" i="1"/>
  <c r="AP454" i="1" s="1"/>
  <c r="AA454" i="1"/>
  <c r="AQ454" i="1" s="1"/>
  <c r="Z455" i="1"/>
  <c r="AP455" i="1" s="1"/>
  <c r="AA455" i="1"/>
  <c r="AQ455" i="1" s="1"/>
  <c r="Z456" i="1"/>
  <c r="AP456" i="1" s="1"/>
  <c r="AA456" i="1"/>
  <c r="AQ456" i="1" s="1"/>
  <c r="Z457" i="1"/>
  <c r="AP457" i="1" s="1"/>
  <c r="AA457" i="1"/>
  <c r="AQ457" i="1" s="1"/>
  <c r="AP458" i="1"/>
  <c r="AQ458" i="1"/>
  <c r="Z460" i="1"/>
  <c r="AP460" i="1" s="1"/>
  <c r="AA460" i="1"/>
  <c r="AQ460" i="1" s="1"/>
  <c r="Z461" i="1"/>
  <c r="AP461" i="1" s="1"/>
  <c r="AA461" i="1"/>
  <c r="AQ461" i="1" s="1"/>
  <c r="Z462" i="1"/>
  <c r="AP462" i="1" s="1"/>
  <c r="AA462" i="1"/>
  <c r="AQ462" i="1" s="1"/>
  <c r="Z463" i="1"/>
  <c r="AP463" i="1" s="1"/>
  <c r="AA463" i="1"/>
  <c r="AQ463" i="1" s="1"/>
  <c r="Z464" i="1"/>
  <c r="AP464" i="1" s="1"/>
  <c r="AA464" i="1"/>
  <c r="AQ464" i="1" s="1"/>
  <c r="Z465" i="1"/>
  <c r="AP465" i="1" s="1"/>
  <c r="AA465" i="1"/>
  <c r="AQ465" i="1" s="1"/>
  <c r="Z466" i="1"/>
  <c r="AP466" i="1" s="1"/>
  <c r="AA466" i="1"/>
  <c r="AQ466" i="1" s="1"/>
  <c r="Z467" i="1"/>
  <c r="AP467" i="1" s="1"/>
  <c r="AA467" i="1"/>
  <c r="AQ467" i="1" s="1"/>
  <c r="Z468" i="1"/>
  <c r="AP468" i="1" s="1"/>
  <c r="AA468" i="1"/>
  <c r="AQ468" i="1" s="1"/>
  <c r="Z469" i="1"/>
  <c r="AP469" i="1" s="1"/>
  <c r="AA469" i="1"/>
  <c r="Z470" i="1"/>
  <c r="AP470" i="1" s="1"/>
  <c r="AA470" i="1"/>
  <c r="Z471" i="1"/>
  <c r="AP471" i="1" s="1"/>
  <c r="AA471" i="1"/>
  <c r="AQ471" i="1" s="1"/>
  <c r="Z472" i="1"/>
  <c r="AP472" i="1" s="1"/>
  <c r="AA472" i="1"/>
  <c r="AQ472" i="1" s="1"/>
  <c r="Z473" i="1"/>
  <c r="AP473" i="1" s="1"/>
  <c r="AA473" i="1"/>
  <c r="AQ473" i="1" s="1"/>
  <c r="Z474" i="1"/>
  <c r="AA474" i="1"/>
  <c r="AQ474" i="1" s="1"/>
  <c r="Z475" i="1"/>
  <c r="AP475" i="1" s="1"/>
  <c r="AA475" i="1"/>
  <c r="AQ475" i="1" s="1"/>
  <c r="Z476" i="1"/>
  <c r="AP476" i="1" s="1"/>
  <c r="AA476" i="1"/>
  <c r="AQ476" i="1" s="1"/>
  <c r="Z477" i="1"/>
  <c r="AP477" i="1" s="1"/>
  <c r="AA477" i="1"/>
  <c r="AQ477" i="1" s="1"/>
  <c r="Z478" i="1"/>
  <c r="AP478" i="1" s="1"/>
  <c r="AA478" i="1"/>
  <c r="Z479" i="1"/>
  <c r="AP479" i="1" s="1"/>
  <c r="AA479" i="1"/>
  <c r="AQ479" i="1" s="1"/>
  <c r="Z480" i="1"/>
  <c r="AP480" i="1" s="1"/>
  <c r="AA480" i="1"/>
  <c r="AQ480" i="1" s="1"/>
  <c r="Z481" i="1"/>
  <c r="AP481" i="1" s="1"/>
  <c r="AA481" i="1"/>
  <c r="Z482" i="1"/>
  <c r="AP482" i="1" s="1"/>
  <c r="AA482" i="1"/>
  <c r="AQ482" i="1" s="1"/>
  <c r="Z483" i="1"/>
  <c r="AP483" i="1" s="1"/>
  <c r="AA483" i="1"/>
  <c r="AQ483" i="1" s="1"/>
  <c r="Z392" i="1"/>
  <c r="AP392" i="1" s="1"/>
  <c r="AA392" i="1"/>
  <c r="AQ392" i="1" s="1"/>
  <c r="Z393" i="1"/>
  <c r="AP393" i="1" s="1"/>
  <c r="AA393" i="1"/>
  <c r="AQ393" i="1" s="1"/>
  <c r="Z394" i="1"/>
  <c r="AP394" i="1" s="1"/>
  <c r="AA394" i="1"/>
  <c r="AQ394" i="1" s="1"/>
  <c r="Z395" i="1"/>
  <c r="AP395" i="1" s="1"/>
  <c r="AA395" i="1"/>
  <c r="AQ395" i="1" s="1"/>
  <c r="Z396" i="1"/>
  <c r="AP396" i="1" s="1"/>
  <c r="AA396" i="1"/>
  <c r="AQ396" i="1" s="1"/>
  <c r="Z397" i="1"/>
  <c r="AP397" i="1" s="1"/>
  <c r="AA397" i="1"/>
  <c r="Z398" i="1"/>
  <c r="AP398" i="1" s="1"/>
  <c r="AA398" i="1"/>
  <c r="AQ398" i="1" s="1"/>
  <c r="Z399" i="1"/>
  <c r="AP399" i="1" s="1"/>
  <c r="AA399" i="1"/>
  <c r="AQ399" i="1" s="1"/>
  <c r="Z400" i="1"/>
  <c r="AP400" i="1" s="1"/>
  <c r="AA400" i="1"/>
  <c r="AQ400" i="1" s="1"/>
  <c r="Z401" i="1"/>
  <c r="AP401" i="1" s="1"/>
  <c r="AA401" i="1"/>
  <c r="AQ401" i="1" s="1"/>
  <c r="Z402" i="1"/>
  <c r="AP402" i="1" s="1"/>
  <c r="AA402" i="1"/>
  <c r="Z403" i="1"/>
  <c r="AP403" i="1" s="1"/>
  <c r="AA403" i="1"/>
  <c r="AQ403" i="1" s="1"/>
  <c r="AA404" i="1"/>
  <c r="AQ404" i="1" s="1"/>
  <c r="Z405" i="1"/>
  <c r="AP405" i="1" s="1"/>
  <c r="AA405" i="1"/>
  <c r="AQ405" i="1" s="1"/>
  <c r="Z406" i="1"/>
  <c r="AP406" i="1" s="1"/>
  <c r="AA406" i="1"/>
  <c r="AQ406" i="1" s="1"/>
  <c r="Z407" i="1"/>
  <c r="AP407" i="1" s="1"/>
  <c r="AA407" i="1"/>
  <c r="AQ407" i="1" s="1"/>
  <c r="Z408" i="1"/>
  <c r="AP408" i="1" s="1"/>
  <c r="AA408" i="1"/>
  <c r="AQ408" i="1" s="1"/>
  <c r="Z409" i="1"/>
  <c r="AP409" i="1" s="1"/>
  <c r="AA409" i="1"/>
  <c r="AQ409" i="1" s="1"/>
  <c r="Z410" i="1"/>
  <c r="AP410" i="1" s="1"/>
  <c r="AA410" i="1"/>
  <c r="AQ410" i="1" s="1"/>
  <c r="Z411" i="1"/>
  <c r="AP411" i="1" s="1"/>
  <c r="AA411" i="1"/>
  <c r="AQ411" i="1" s="1"/>
  <c r="Z412" i="1"/>
  <c r="AP412" i="1" s="1"/>
  <c r="AA412" i="1"/>
  <c r="AQ412" i="1" s="1"/>
  <c r="Z413" i="1"/>
  <c r="AP413" i="1" s="1"/>
  <c r="AA413" i="1"/>
  <c r="AQ413" i="1" s="1"/>
  <c r="Z414" i="1"/>
  <c r="AP414" i="1" s="1"/>
  <c r="AA414" i="1"/>
  <c r="AQ414" i="1" s="1"/>
  <c r="Z415" i="1"/>
  <c r="AP415" i="1" s="1"/>
  <c r="AA415" i="1"/>
  <c r="AQ415" i="1" s="1"/>
  <c r="Z416" i="1"/>
  <c r="AP416" i="1" s="1"/>
  <c r="AA416" i="1"/>
  <c r="AQ416" i="1" s="1"/>
  <c r="Z417" i="1"/>
  <c r="AP417" i="1" s="1"/>
  <c r="AA417" i="1"/>
  <c r="AQ417" i="1" s="1"/>
  <c r="Z369" i="1"/>
  <c r="AP369" i="1" s="1"/>
  <c r="AA369" i="1"/>
  <c r="AQ369" i="1" s="1"/>
  <c r="Z370" i="1"/>
  <c r="AP370" i="1" s="1"/>
  <c r="AA370" i="1"/>
  <c r="AQ370" i="1" s="1"/>
  <c r="Z371" i="1"/>
  <c r="AP371" i="1" s="1"/>
  <c r="AA371" i="1"/>
  <c r="AQ371" i="1" s="1"/>
  <c r="Z372" i="1"/>
  <c r="AP372" i="1" s="1"/>
  <c r="AA372" i="1"/>
  <c r="AQ372" i="1" s="1"/>
  <c r="Z373" i="1"/>
  <c r="AP373" i="1" s="1"/>
  <c r="AA373" i="1"/>
  <c r="AQ373" i="1" s="1"/>
  <c r="Z374" i="1"/>
  <c r="AP374" i="1" s="1"/>
  <c r="AA374" i="1"/>
  <c r="AQ374" i="1" s="1"/>
  <c r="Z375" i="1"/>
  <c r="AP375" i="1" s="1"/>
  <c r="AA375" i="1"/>
  <c r="AQ375" i="1" s="1"/>
  <c r="Z376" i="1"/>
  <c r="AP376" i="1" s="1"/>
  <c r="AA376" i="1"/>
  <c r="AQ376" i="1" s="1"/>
  <c r="Z377" i="1"/>
  <c r="AP377" i="1" s="1"/>
  <c r="AA377" i="1"/>
  <c r="AQ377" i="1" s="1"/>
  <c r="Z378" i="1"/>
  <c r="AP378" i="1" s="1"/>
  <c r="AA378" i="1"/>
  <c r="AQ378" i="1" s="1"/>
  <c r="Z379" i="1"/>
  <c r="AP379" i="1" s="1"/>
  <c r="AA379" i="1"/>
  <c r="AQ379" i="1" s="1"/>
  <c r="Z380" i="1"/>
  <c r="AP380" i="1" s="1"/>
  <c r="AA380" i="1"/>
  <c r="AQ380" i="1" s="1"/>
  <c r="Z381" i="1"/>
  <c r="AP381" i="1" s="1"/>
  <c r="AA381" i="1"/>
  <c r="AQ381" i="1" s="1"/>
  <c r="Z382" i="1"/>
  <c r="AP382" i="1" s="1"/>
  <c r="AA382" i="1"/>
  <c r="AQ382" i="1" s="1"/>
  <c r="Z383" i="1"/>
  <c r="AP383" i="1" s="1"/>
  <c r="AA383" i="1"/>
  <c r="AQ383" i="1" s="1"/>
  <c r="Z384" i="1"/>
  <c r="AP384" i="1" s="1"/>
  <c r="AA384" i="1"/>
  <c r="AQ384" i="1" s="1"/>
  <c r="Z385" i="1"/>
  <c r="AP385" i="1" s="1"/>
  <c r="AA385" i="1"/>
  <c r="AQ385" i="1" s="1"/>
  <c r="Z386" i="1"/>
  <c r="AP386" i="1" s="1"/>
  <c r="AA386" i="1"/>
  <c r="AQ386" i="1" s="1"/>
  <c r="Z387" i="1"/>
  <c r="AP387" i="1" s="1"/>
  <c r="AA387" i="1"/>
  <c r="AQ387" i="1" s="1"/>
  <c r="Z388" i="1"/>
  <c r="AP388" i="1" s="1"/>
  <c r="AA388" i="1"/>
  <c r="AQ388" i="1" s="1"/>
  <c r="Z389" i="1"/>
  <c r="AP389" i="1" s="1"/>
  <c r="AA389" i="1"/>
  <c r="AQ389" i="1" s="1"/>
  <c r="Z339" i="1"/>
  <c r="AP339" i="1" s="1"/>
  <c r="AA339" i="1"/>
  <c r="AQ339" i="1" s="1"/>
  <c r="Z340" i="1"/>
  <c r="AP340" i="1" s="1"/>
  <c r="AA340" i="1"/>
  <c r="AQ340" i="1" s="1"/>
  <c r="Z341" i="1"/>
  <c r="AP341" i="1" s="1"/>
  <c r="AA341" i="1"/>
  <c r="AQ341" i="1" s="1"/>
  <c r="Z342" i="1"/>
  <c r="AP342" i="1" s="1"/>
  <c r="AA342" i="1"/>
  <c r="Z343" i="1"/>
  <c r="AP343" i="1" s="1"/>
  <c r="AA343" i="1"/>
  <c r="AQ343" i="1" s="1"/>
  <c r="Z344" i="1"/>
  <c r="AP344" i="1" s="1"/>
  <c r="AA344" i="1"/>
  <c r="AQ344" i="1" s="1"/>
  <c r="Z345" i="1"/>
  <c r="AP345" i="1" s="1"/>
  <c r="AA345" i="1"/>
  <c r="AQ345" i="1" s="1"/>
  <c r="Z346" i="1"/>
  <c r="AP346" i="1" s="1"/>
  <c r="AA346" i="1"/>
  <c r="AQ346" i="1" s="1"/>
  <c r="Z347" i="1"/>
  <c r="AP347" i="1" s="1"/>
  <c r="AA347" i="1"/>
  <c r="AQ347" i="1" s="1"/>
  <c r="Z348" i="1"/>
  <c r="AP348" i="1" s="1"/>
  <c r="AA348" i="1"/>
  <c r="AQ348" i="1" s="1"/>
  <c r="Z349" i="1"/>
  <c r="AP349" i="1" s="1"/>
  <c r="AA349" i="1"/>
  <c r="AQ349" i="1" s="1"/>
  <c r="Z350" i="1"/>
  <c r="AP350" i="1" s="1"/>
  <c r="AA350" i="1"/>
  <c r="AQ350" i="1" s="1"/>
  <c r="AA351" i="1"/>
  <c r="AQ351" i="1" s="1"/>
  <c r="Z352" i="1"/>
  <c r="AP352" i="1" s="1"/>
  <c r="AA352" i="1"/>
  <c r="AQ352" i="1" s="1"/>
  <c r="Z353" i="1"/>
  <c r="AP353" i="1" s="1"/>
  <c r="AA353" i="1"/>
  <c r="AQ353" i="1" s="1"/>
  <c r="Z354" i="1"/>
  <c r="AP354" i="1" s="1"/>
  <c r="AA354" i="1"/>
  <c r="AQ354" i="1" s="1"/>
  <c r="Z355" i="1"/>
  <c r="AP355" i="1" s="1"/>
  <c r="AA355" i="1"/>
  <c r="AQ355" i="1" s="1"/>
  <c r="Z356" i="1"/>
  <c r="AP356" i="1" s="1"/>
  <c r="AA356" i="1"/>
  <c r="AQ356" i="1" s="1"/>
  <c r="Z357" i="1"/>
  <c r="AP357" i="1" s="1"/>
  <c r="AA357" i="1"/>
  <c r="AQ357" i="1" s="1"/>
  <c r="Z358" i="1"/>
  <c r="AP358" i="1" s="1"/>
  <c r="AA358" i="1"/>
  <c r="AQ358" i="1" s="1"/>
  <c r="Z359" i="1"/>
  <c r="AP359" i="1" s="1"/>
  <c r="AA359" i="1"/>
  <c r="AQ359" i="1" s="1"/>
  <c r="Z360" i="1"/>
  <c r="AP360" i="1" s="1"/>
  <c r="AA360" i="1"/>
  <c r="AQ360" i="1" s="1"/>
  <c r="Z361" i="1"/>
  <c r="AP361" i="1" s="1"/>
  <c r="AA361" i="1"/>
  <c r="Z362" i="1"/>
  <c r="AP362" i="1" s="1"/>
  <c r="AA362" i="1"/>
  <c r="AQ362" i="1" s="1"/>
  <c r="Z363" i="1"/>
  <c r="AP363" i="1" s="1"/>
  <c r="AA363" i="1"/>
  <c r="AQ363" i="1" s="1"/>
  <c r="Z364" i="1"/>
  <c r="AP364" i="1" s="1"/>
  <c r="AA364" i="1"/>
  <c r="AQ364" i="1" s="1"/>
  <c r="Z365" i="1"/>
  <c r="AP365" i="1" s="1"/>
  <c r="AA365" i="1"/>
  <c r="AQ365" i="1" s="1"/>
  <c r="Z366" i="1"/>
  <c r="AP366" i="1" s="1"/>
  <c r="AA366" i="1"/>
  <c r="AQ366" i="1" s="1"/>
  <c r="Z308" i="1"/>
  <c r="AP308" i="1" s="1"/>
  <c r="AA308" i="1"/>
  <c r="AQ308" i="1" s="1"/>
  <c r="Z309" i="1"/>
  <c r="AP309" i="1" s="1"/>
  <c r="AA309" i="1"/>
  <c r="AQ309" i="1" s="1"/>
  <c r="Z310" i="1"/>
  <c r="AP310" i="1" s="1"/>
  <c r="AA310" i="1"/>
  <c r="AQ310" i="1" s="1"/>
  <c r="Z311" i="1"/>
  <c r="AP311" i="1" s="1"/>
  <c r="AA311" i="1"/>
  <c r="Z312" i="1"/>
  <c r="AP312" i="1" s="1"/>
  <c r="AA312" i="1"/>
  <c r="AQ312" i="1" s="1"/>
  <c r="Z313" i="1"/>
  <c r="AP313" i="1" s="1"/>
  <c r="AA313" i="1"/>
  <c r="AQ313" i="1" s="1"/>
  <c r="Z314" i="1"/>
  <c r="AP314" i="1" s="1"/>
  <c r="AA314" i="1"/>
  <c r="AQ314" i="1" s="1"/>
  <c r="Z315" i="1"/>
  <c r="AP315" i="1" s="1"/>
  <c r="AA315" i="1"/>
  <c r="AQ315" i="1" s="1"/>
  <c r="Z316" i="1"/>
  <c r="AP316" i="1" s="1"/>
  <c r="AA316" i="1"/>
  <c r="AQ316" i="1" s="1"/>
  <c r="Z317" i="1"/>
  <c r="AP317" i="1" s="1"/>
  <c r="AA317" i="1"/>
  <c r="AQ317" i="1" s="1"/>
  <c r="Z318" i="1"/>
  <c r="AP318" i="1" s="1"/>
  <c r="AA318" i="1"/>
  <c r="AQ318" i="1" s="1"/>
  <c r="Z319" i="1"/>
  <c r="AP319" i="1" s="1"/>
  <c r="AA319" i="1"/>
  <c r="AQ319" i="1" s="1"/>
  <c r="Z320" i="1"/>
  <c r="AP320" i="1" s="1"/>
  <c r="AA320" i="1"/>
  <c r="AQ320" i="1" s="1"/>
  <c r="Z321" i="1"/>
  <c r="AP321" i="1" s="1"/>
  <c r="AA321" i="1"/>
  <c r="AQ321" i="1" s="1"/>
  <c r="AA322" i="1"/>
  <c r="AQ322" i="1" s="1"/>
  <c r="Z323" i="1"/>
  <c r="AP323" i="1" s="1"/>
  <c r="AA323" i="1"/>
  <c r="AQ323" i="1" s="1"/>
  <c r="Z324" i="1"/>
  <c r="AP324" i="1" s="1"/>
  <c r="AA324" i="1"/>
  <c r="AQ324" i="1" s="1"/>
  <c r="Z325" i="1"/>
  <c r="AP325" i="1" s="1"/>
  <c r="AA325" i="1"/>
  <c r="AQ325" i="1" s="1"/>
  <c r="Z326" i="1"/>
  <c r="AP326" i="1" s="1"/>
  <c r="AA326" i="1"/>
  <c r="AQ326" i="1" s="1"/>
  <c r="Z327" i="1"/>
  <c r="AP327" i="1" s="1"/>
  <c r="AA327" i="1"/>
  <c r="AQ327" i="1" s="1"/>
  <c r="Z328" i="1"/>
  <c r="AP328" i="1" s="1"/>
  <c r="AA328" i="1"/>
  <c r="AQ328" i="1" s="1"/>
  <c r="Z329" i="1"/>
  <c r="AP329" i="1" s="1"/>
  <c r="AA329" i="1"/>
  <c r="AQ329" i="1" s="1"/>
  <c r="Z330" i="1"/>
  <c r="AP330" i="1" s="1"/>
  <c r="AA330" i="1"/>
  <c r="AQ330" i="1" s="1"/>
  <c r="Z332" i="1"/>
  <c r="AP332" i="1" s="1"/>
  <c r="AA332" i="1"/>
  <c r="AQ332" i="1" s="1"/>
  <c r="Z333" i="1"/>
  <c r="AP333" i="1" s="1"/>
  <c r="AA333" i="1"/>
  <c r="AQ333" i="1" s="1"/>
  <c r="Z334" i="1"/>
  <c r="AP334" i="1" s="1"/>
  <c r="AA334" i="1"/>
  <c r="AQ334" i="1" s="1"/>
  <c r="Z335" i="1"/>
  <c r="AP335" i="1" s="1"/>
  <c r="AA335" i="1"/>
  <c r="AQ335" i="1" s="1"/>
  <c r="Z336" i="1"/>
  <c r="AP336" i="1" s="1"/>
  <c r="AA336" i="1"/>
  <c r="AQ336" i="1" s="1"/>
  <c r="Z289" i="1"/>
  <c r="AP289" i="1" s="1"/>
  <c r="AA289" i="1"/>
  <c r="AQ289" i="1" s="1"/>
  <c r="Z290" i="1"/>
  <c r="AP290" i="1" s="1"/>
  <c r="AA290" i="1"/>
  <c r="AQ290" i="1" s="1"/>
  <c r="Z291" i="1"/>
  <c r="AP291" i="1" s="1"/>
  <c r="AA291" i="1"/>
  <c r="AQ291" i="1" s="1"/>
  <c r="Z292" i="1"/>
  <c r="AP292" i="1" s="1"/>
  <c r="AA292" i="1"/>
  <c r="AQ292" i="1" s="1"/>
  <c r="Z293" i="1"/>
  <c r="AP293" i="1" s="1"/>
  <c r="AA293" i="1"/>
  <c r="AQ293" i="1" s="1"/>
  <c r="Z294" i="1"/>
  <c r="AP294" i="1" s="1"/>
  <c r="AA294" i="1"/>
  <c r="AQ294" i="1" s="1"/>
  <c r="Z295" i="1"/>
  <c r="AP295" i="1" s="1"/>
  <c r="AA295" i="1"/>
  <c r="AQ295" i="1" s="1"/>
  <c r="Z296" i="1"/>
  <c r="AP296" i="1" s="1"/>
  <c r="AA296" i="1"/>
  <c r="AQ296" i="1" s="1"/>
  <c r="Z297" i="1"/>
  <c r="AP297" i="1" s="1"/>
  <c r="AA297" i="1"/>
  <c r="AQ297" i="1" s="1"/>
  <c r="Z298" i="1"/>
  <c r="AP298" i="1" s="1"/>
  <c r="AA298" i="1"/>
  <c r="AQ298" i="1" s="1"/>
  <c r="Z299" i="1"/>
  <c r="AP299" i="1" s="1"/>
  <c r="AA299" i="1"/>
  <c r="AQ299" i="1" s="1"/>
  <c r="Z300" i="1"/>
  <c r="AP300" i="1" s="1"/>
  <c r="AA300" i="1"/>
  <c r="Z301" i="1"/>
  <c r="AP301" i="1" s="1"/>
  <c r="AA301" i="1"/>
  <c r="AQ301" i="1" s="1"/>
  <c r="Z302" i="1"/>
  <c r="AP302" i="1" s="1"/>
  <c r="AA302" i="1"/>
  <c r="AQ302" i="1" s="1"/>
  <c r="Z303" i="1"/>
  <c r="AP303" i="1" s="1"/>
  <c r="AA303" i="1"/>
  <c r="AQ303" i="1" s="1"/>
  <c r="Z304" i="1"/>
  <c r="AP304" i="1" s="1"/>
  <c r="AA304" i="1"/>
  <c r="AQ304" i="1" s="1"/>
  <c r="Z305" i="1"/>
  <c r="AP305" i="1" s="1"/>
  <c r="AA305" i="1"/>
  <c r="AQ305" i="1" s="1"/>
  <c r="Z263" i="1"/>
  <c r="AP263" i="1" s="1"/>
  <c r="AA263" i="1"/>
  <c r="AQ263" i="1" s="1"/>
  <c r="Z264" i="1"/>
  <c r="AP264" i="1" s="1"/>
  <c r="AA264" i="1"/>
  <c r="AQ264" i="1" s="1"/>
  <c r="Z265" i="1"/>
  <c r="AP265" i="1" s="1"/>
  <c r="AA265" i="1"/>
  <c r="AQ265" i="1" s="1"/>
  <c r="Z266" i="1"/>
  <c r="AP266" i="1" s="1"/>
  <c r="AA266" i="1"/>
  <c r="AQ266" i="1" s="1"/>
  <c r="Z267" i="1"/>
  <c r="AP267" i="1" s="1"/>
  <c r="AA267" i="1"/>
  <c r="AQ267" i="1" s="1"/>
  <c r="Z268" i="1"/>
  <c r="AP268" i="1" s="1"/>
  <c r="AA268" i="1"/>
  <c r="AQ268" i="1" s="1"/>
  <c r="Z269" i="1"/>
  <c r="AP269" i="1" s="1"/>
  <c r="AA269" i="1"/>
  <c r="AQ269" i="1" s="1"/>
  <c r="Z270" i="1"/>
  <c r="AP270" i="1" s="1"/>
  <c r="AA270" i="1"/>
  <c r="AQ270" i="1" s="1"/>
  <c r="Z271" i="1"/>
  <c r="AP271" i="1" s="1"/>
  <c r="AA271" i="1"/>
  <c r="AQ271" i="1" s="1"/>
  <c r="Z272" i="1"/>
  <c r="AP272" i="1" s="1"/>
  <c r="AA272" i="1"/>
  <c r="AQ272" i="1" s="1"/>
  <c r="Z273" i="1"/>
  <c r="AP273" i="1" s="1"/>
  <c r="AA273" i="1"/>
  <c r="Z274" i="1"/>
  <c r="AP274" i="1" s="1"/>
  <c r="AA274" i="1"/>
  <c r="AQ274" i="1" s="1"/>
  <c r="Z275" i="1"/>
  <c r="AP275" i="1" s="1"/>
  <c r="AA275" i="1"/>
  <c r="AQ275" i="1" s="1"/>
  <c r="Z276" i="1"/>
  <c r="AP276" i="1" s="1"/>
  <c r="AA276" i="1"/>
  <c r="AQ276" i="1" s="1"/>
  <c r="Z277" i="1"/>
  <c r="AP277" i="1" s="1"/>
  <c r="AA277" i="1"/>
  <c r="AQ277" i="1" s="1"/>
  <c r="Z278" i="1"/>
  <c r="AP278" i="1" s="1"/>
  <c r="AA278" i="1"/>
  <c r="AQ278" i="1" s="1"/>
  <c r="Z279" i="1"/>
  <c r="AP279" i="1" s="1"/>
  <c r="AA279" i="1"/>
  <c r="AQ279" i="1" s="1"/>
  <c r="Z280" i="1"/>
  <c r="AP280" i="1" s="1"/>
  <c r="AA280" i="1"/>
  <c r="AQ280" i="1" s="1"/>
  <c r="Z281" i="1"/>
  <c r="AP281" i="1" s="1"/>
  <c r="AA281" i="1"/>
  <c r="AQ281" i="1" s="1"/>
  <c r="Z282" i="1"/>
  <c r="AP282" i="1" s="1"/>
  <c r="AA282" i="1"/>
  <c r="AQ282" i="1" s="1"/>
  <c r="Z283" i="1"/>
  <c r="AP283" i="1" s="1"/>
  <c r="AA283" i="1"/>
  <c r="AQ283" i="1" s="1"/>
  <c r="Z284" i="1"/>
  <c r="AP284" i="1" s="1"/>
  <c r="AA284" i="1"/>
  <c r="AQ284" i="1" s="1"/>
  <c r="Z285" i="1"/>
  <c r="AP285" i="1" s="1"/>
  <c r="AA285" i="1"/>
  <c r="AQ285" i="1" s="1"/>
  <c r="Z286" i="1"/>
  <c r="AP286" i="1" s="1"/>
  <c r="AA286" i="1"/>
  <c r="AQ286" i="1" s="1"/>
  <c r="Z231" i="1"/>
  <c r="AP231" i="1" s="1"/>
  <c r="AA231" i="1"/>
  <c r="AQ231" i="1" s="1"/>
  <c r="Z232" i="1"/>
  <c r="AP232" i="1" s="1"/>
  <c r="AA232" i="1"/>
  <c r="AQ232" i="1" s="1"/>
  <c r="Z233" i="1"/>
  <c r="AP233" i="1" s="1"/>
  <c r="AA233" i="1"/>
  <c r="AQ233" i="1" s="1"/>
  <c r="Z234" i="1"/>
  <c r="AP234" i="1" s="1"/>
  <c r="AA234" i="1"/>
  <c r="Z235" i="1"/>
  <c r="AP235" i="1" s="1"/>
  <c r="AA235" i="1"/>
  <c r="AQ235" i="1" s="1"/>
  <c r="Z236" i="1"/>
  <c r="AP236" i="1" s="1"/>
  <c r="AA236" i="1"/>
  <c r="AQ236" i="1" s="1"/>
  <c r="Z237" i="1"/>
  <c r="AP237" i="1" s="1"/>
  <c r="AA237" i="1"/>
  <c r="AQ237" i="1" s="1"/>
  <c r="Z238" i="1"/>
  <c r="AP238" i="1" s="1"/>
  <c r="AA238" i="1"/>
  <c r="AQ238" i="1" s="1"/>
  <c r="Z239" i="1"/>
  <c r="AP239" i="1" s="1"/>
  <c r="AA239" i="1"/>
  <c r="AQ239" i="1" s="1"/>
  <c r="F56" i="8" s="1"/>
  <c r="AA240" i="1"/>
  <c r="AQ240" i="1" s="1"/>
  <c r="Z241" i="1"/>
  <c r="AP241" i="1" s="1"/>
  <c r="AA241" i="1"/>
  <c r="AQ241" i="1" s="1"/>
  <c r="Z242" i="1"/>
  <c r="AP242" i="1" s="1"/>
  <c r="AA242" i="1"/>
  <c r="AQ242" i="1" s="1"/>
  <c r="Z243" i="1"/>
  <c r="AP243" i="1" s="1"/>
  <c r="AA243" i="1"/>
  <c r="AQ243" i="1" s="1"/>
  <c r="Z244" i="1"/>
  <c r="AP244" i="1" s="1"/>
  <c r="AA244" i="1"/>
  <c r="AQ244" i="1" s="1"/>
  <c r="Z245" i="1"/>
  <c r="AP245" i="1" s="1"/>
  <c r="AA245" i="1"/>
  <c r="AQ245" i="1" s="1"/>
  <c r="AA246" i="1"/>
  <c r="AQ246" i="1" s="1"/>
  <c r="Z247" i="1"/>
  <c r="AP247" i="1" s="1"/>
  <c r="AA247" i="1"/>
  <c r="AQ247" i="1" s="1"/>
  <c r="Z248" i="1"/>
  <c r="AP248" i="1" s="1"/>
  <c r="AA248" i="1"/>
  <c r="AQ248" i="1" s="1"/>
  <c r="Z249" i="1"/>
  <c r="AP249" i="1" s="1"/>
  <c r="AA249" i="1"/>
  <c r="AQ249" i="1" s="1"/>
  <c r="Z250" i="1"/>
  <c r="AP250" i="1" s="1"/>
  <c r="AA250" i="1"/>
  <c r="AQ250" i="1" s="1"/>
  <c r="Z251" i="1"/>
  <c r="AP251" i="1" s="1"/>
  <c r="AA251" i="1"/>
  <c r="AQ251" i="1" s="1"/>
  <c r="Z252" i="1"/>
  <c r="AP252" i="1" s="1"/>
  <c r="AA252" i="1"/>
  <c r="AQ252" i="1" s="1"/>
  <c r="Z253" i="1"/>
  <c r="AP253" i="1" s="1"/>
  <c r="AA253" i="1"/>
  <c r="AQ253" i="1" s="1"/>
  <c r="Z254" i="1"/>
  <c r="AP254" i="1" s="1"/>
  <c r="AA254" i="1"/>
  <c r="AQ254" i="1" s="1"/>
  <c r="Z255" i="1"/>
  <c r="AP255" i="1" s="1"/>
  <c r="AA255" i="1"/>
  <c r="AQ255" i="1" s="1"/>
  <c r="Z256" i="1"/>
  <c r="AP256" i="1" s="1"/>
  <c r="AA256" i="1"/>
  <c r="AQ256" i="1" s="1"/>
  <c r="Z257" i="1"/>
  <c r="AP257" i="1" s="1"/>
  <c r="AA257" i="1"/>
  <c r="AQ257" i="1" s="1"/>
  <c r="Z258" i="1"/>
  <c r="AP258" i="1" s="1"/>
  <c r="AA258" i="1"/>
  <c r="AQ258" i="1" s="1"/>
  <c r="Z259" i="1"/>
  <c r="AP259" i="1" s="1"/>
  <c r="AA259" i="1"/>
  <c r="AQ259" i="1" s="1"/>
  <c r="Z260" i="1"/>
  <c r="AP260" i="1" s="1"/>
  <c r="AA260" i="1"/>
  <c r="AQ260" i="1" s="1"/>
  <c r="Z195" i="1"/>
  <c r="AP195" i="1" s="1"/>
  <c r="AA195" i="1"/>
  <c r="AQ195" i="1" s="1"/>
  <c r="Z196" i="1"/>
  <c r="AP196" i="1" s="1"/>
  <c r="AA196" i="1"/>
  <c r="AQ196" i="1" s="1"/>
  <c r="Z197" i="1"/>
  <c r="AP197" i="1" s="1"/>
  <c r="AA197" i="1"/>
  <c r="AQ197" i="1" s="1"/>
  <c r="Z198" i="1"/>
  <c r="AP198" i="1" s="1"/>
  <c r="AA198" i="1"/>
  <c r="AQ198" i="1" s="1"/>
  <c r="Z199" i="1"/>
  <c r="AP199" i="1" s="1"/>
  <c r="AA199" i="1"/>
  <c r="AQ199" i="1" s="1"/>
  <c r="Z200" i="1"/>
  <c r="AP200" i="1" s="1"/>
  <c r="AA200" i="1"/>
  <c r="AQ200" i="1" s="1"/>
  <c r="Z201" i="1"/>
  <c r="AP201" i="1" s="1"/>
  <c r="AA201" i="1"/>
  <c r="AQ201" i="1" s="1"/>
  <c r="Z202" i="1"/>
  <c r="AP202" i="1" s="1"/>
  <c r="AA202" i="1"/>
  <c r="AQ202" i="1" s="1"/>
  <c r="Z203" i="1"/>
  <c r="AP203" i="1" s="1"/>
  <c r="AA203" i="1"/>
  <c r="AQ203" i="1" s="1"/>
  <c r="AA204" i="1"/>
  <c r="AQ204" i="1" s="1"/>
  <c r="Z205" i="1"/>
  <c r="AP205" i="1" s="1"/>
  <c r="AA205" i="1"/>
  <c r="AQ205" i="1" s="1"/>
  <c r="Z206" i="1"/>
  <c r="AP206" i="1" s="1"/>
  <c r="AA206" i="1"/>
  <c r="AQ206" i="1" s="1"/>
  <c r="Z207" i="1"/>
  <c r="AP207" i="1" s="1"/>
  <c r="AA207" i="1"/>
  <c r="AQ207" i="1" s="1"/>
  <c r="Z208" i="1"/>
  <c r="AP208" i="1" s="1"/>
  <c r="AA208" i="1"/>
  <c r="AQ208" i="1" s="1"/>
  <c r="Z209" i="1"/>
  <c r="AP209" i="1" s="1"/>
  <c r="AA209" i="1"/>
  <c r="AQ209" i="1" s="1"/>
  <c r="Z210" i="1"/>
  <c r="AP210" i="1" s="1"/>
  <c r="AA210" i="1"/>
  <c r="AQ210" i="1" s="1"/>
  <c r="Z211" i="1"/>
  <c r="AP211" i="1" s="1"/>
  <c r="AA211" i="1"/>
  <c r="AQ211" i="1" s="1"/>
  <c r="Z212" i="1"/>
  <c r="AP212" i="1" s="1"/>
  <c r="AA212" i="1"/>
  <c r="AQ212" i="1" s="1"/>
  <c r="Z213" i="1"/>
  <c r="AP213" i="1" s="1"/>
  <c r="AA213" i="1"/>
  <c r="AQ213" i="1" s="1"/>
  <c r="Z214" i="1"/>
  <c r="AP214" i="1" s="1"/>
  <c r="AA214" i="1"/>
  <c r="AQ214" i="1" s="1"/>
  <c r="Z215" i="1"/>
  <c r="AP215" i="1" s="1"/>
  <c r="AA215" i="1"/>
  <c r="AQ215" i="1" s="1"/>
  <c r="Z216" i="1"/>
  <c r="AP216" i="1" s="1"/>
  <c r="AA216" i="1"/>
  <c r="AQ216" i="1" s="1"/>
  <c r="Z217" i="1"/>
  <c r="AP217" i="1" s="1"/>
  <c r="AA217" i="1"/>
  <c r="AQ217" i="1" s="1"/>
  <c r="Z218" i="1"/>
  <c r="AP218" i="1" s="1"/>
  <c r="AA218" i="1"/>
  <c r="AQ218" i="1" s="1"/>
  <c r="Z219" i="1"/>
  <c r="AP219" i="1" s="1"/>
  <c r="AA219" i="1"/>
  <c r="AQ219" i="1" s="1"/>
  <c r="Z220" i="1"/>
  <c r="AP220" i="1" s="1"/>
  <c r="AA220" i="1"/>
  <c r="AQ220" i="1" s="1"/>
  <c r="Z221" i="1"/>
  <c r="AP221" i="1" s="1"/>
  <c r="AA221" i="1"/>
  <c r="AQ221" i="1" s="1"/>
  <c r="Z222" i="1"/>
  <c r="AP222" i="1" s="1"/>
  <c r="AA222" i="1"/>
  <c r="AQ222" i="1" s="1"/>
  <c r="Z223" i="1"/>
  <c r="AP223" i="1" s="1"/>
  <c r="AA223" i="1"/>
  <c r="AQ223" i="1" s="1"/>
  <c r="Z224" i="1"/>
  <c r="AP224" i="1" s="1"/>
  <c r="AA224" i="1"/>
  <c r="AQ224" i="1" s="1"/>
  <c r="Z225" i="1"/>
  <c r="AP225" i="1" s="1"/>
  <c r="AA225" i="1"/>
  <c r="AQ225" i="1" s="1"/>
  <c r="Z226" i="1"/>
  <c r="AP226" i="1" s="1"/>
  <c r="AA226" i="1"/>
  <c r="AQ226" i="1" s="1"/>
  <c r="Z227" i="1"/>
  <c r="AP227" i="1" s="1"/>
  <c r="AA227" i="1"/>
  <c r="Z228" i="1"/>
  <c r="AP228" i="1" s="1"/>
  <c r="AA228" i="1"/>
  <c r="AQ228" i="1" s="1"/>
  <c r="Z168" i="1"/>
  <c r="AA168" i="1"/>
  <c r="AQ168" i="1" s="1"/>
  <c r="Z169" i="1"/>
  <c r="AP169" i="1" s="1"/>
  <c r="AA169" i="1"/>
  <c r="AQ169" i="1" s="1"/>
  <c r="Z170" i="1"/>
  <c r="AP170" i="1" s="1"/>
  <c r="AA170" i="1"/>
  <c r="AQ170" i="1" s="1"/>
  <c r="Z171" i="1"/>
  <c r="AP171" i="1" s="1"/>
  <c r="AA171" i="1"/>
  <c r="AQ171" i="1" s="1"/>
  <c r="Z172" i="1"/>
  <c r="AP172" i="1" s="1"/>
  <c r="AA172" i="1"/>
  <c r="AQ172" i="1" s="1"/>
  <c r="Z173" i="1"/>
  <c r="AP173" i="1" s="1"/>
  <c r="AA173" i="1"/>
  <c r="AQ173" i="1" s="1"/>
  <c r="Z174" i="1"/>
  <c r="AP174" i="1" s="1"/>
  <c r="AA174" i="1"/>
  <c r="AQ174" i="1" s="1"/>
  <c r="Z175" i="1"/>
  <c r="AP175" i="1" s="1"/>
  <c r="AA175" i="1"/>
  <c r="AQ175" i="1" s="1"/>
  <c r="Z176" i="1"/>
  <c r="AP176" i="1" s="1"/>
  <c r="AA176" i="1"/>
  <c r="AQ176" i="1" s="1"/>
  <c r="AA177" i="1"/>
  <c r="AQ177" i="1" s="1"/>
  <c r="Z178" i="1"/>
  <c r="AP178" i="1" s="1"/>
  <c r="AA178" i="1"/>
  <c r="AQ178" i="1" s="1"/>
  <c r="Z179" i="1"/>
  <c r="AP179" i="1" s="1"/>
  <c r="AA179" i="1"/>
  <c r="AQ179" i="1" s="1"/>
  <c r="Z180" i="1"/>
  <c r="AP180" i="1" s="1"/>
  <c r="AA180" i="1"/>
  <c r="AQ180" i="1" s="1"/>
  <c r="Z181" i="1"/>
  <c r="AP181" i="1" s="1"/>
  <c r="AA181" i="1"/>
  <c r="AQ181" i="1" s="1"/>
  <c r="AA182" i="1"/>
  <c r="AQ182" i="1" s="1"/>
  <c r="Z183" i="1"/>
  <c r="AP183" i="1" s="1"/>
  <c r="AA183" i="1"/>
  <c r="AQ183" i="1" s="1"/>
  <c r="Z184" i="1"/>
  <c r="AP184" i="1" s="1"/>
  <c r="AA184" i="1"/>
  <c r="AQ184" i="1" s="1"/>
  <c r="Z185" i="1"/>
  <c r="AP185" i="1" s="1"/>
  <c r="AA185" i="1"/>
  <c r="AQ185" i="1" s="1"/>
  <c r="Z186" i="1"/>
  <c r="AP186" i="1" s="1"/>
  <c r="AA186" i="1"/>
  <c r="AQ186" i="1" s="1"/>
  <c r="Z187" i="1"/>
  <c r="AP187" i="1" s="1"/>
  <c r="AA187" i="1"/>
  <c r="AQ187" i="1" s="1"/>
  <c r="Z188" i="1"/>
  <c r="AP188" i="1" s="1"/>
  <c r="AA188" i="1"/>
  <c r="AQ188" i="1" s="1"/>
  <c r="Z189" i="1"/>
  <c r="AP189" i="1" s="1"/>
  <c r="AA189" i="1"/>
  <c r="AQ189" i="1" s="1"/>
  <c r="Z190" i="1"/>
  <c r="AP190" i="1" s="1"/>
  <c r="AA190" i="1"/>
  <c r="AQ190" i="1" s="1"/>
  <c r="Z191" i="1"/>
  <c r="AP191" i="1" s="1"/>
  <c r="AA191" i="1"/>
  <c r="AQ191" i="1" s="1"/>
  <c r="Z192" i="1"/>
  <c r="AP192" i="1" s="1"/>
  <c r="AA192" i="1"/>
  <c r="AQ192" i="1" s="1"/>
  <c r="Z130" i="1"/>
  <c r="AP130" i="1" s="1"/>
  <c r="Z131" i="1"/>
  <c r="AP131" i="1" s="1"/>
  <c r="F35" i="8"/>
  <c r="AP133" i="1"/>
  <c r="Z134" i="1"/>
  <c r="AP134" i="1" s="1"/>
  <c r="Z135" i="1"/>
  <c r="AP135" i="1" s="1"/>
  <c r="Z136" i="1"/>
  <c r="AP136" i="1" s="1"/>
  <c r="Z137" i="1"/>
  <c r="AP137" i="1" s="1"/>
  <c r="Z138" i="1"/>
  <c r="AP138" i="1" s="1"/>
  <c r="Z140" i="1"/>
  <c r="AP140" i="1" s="1"/>
  <c r="Z141" i="1"/>
  <c r="AP141" i="1" s="1"/>
  <c r="Z142" i="1"/>
  <c r="AP142" i="1" s="1"/>
  <c r="Z143" i="1"/>
  <c r="AP143" i="1" s="1"/>
  <c r="Z145" i="1"/>
  <c r="AP145" i="1" s="1"/>
  <c r="Z146" i="1"/>
  <c r="AP146" i="1" s="1"/>
  <c r="Z147" i="1"/>
  <c r="AP147" i="1" s="1"/>
  <c r="Z148" i="1"/>
  <c r="AP148" i="1" s="1"/>
  <c r="Z149" i="1"/>
  <c r="AP149" i="1" s="1"/>
  <c r="Z150" i="1"/>
  <c r="AP150" i="1" s="1"/>
  <c r="Z151" i="1"/>
  <c r="AP151" i="1" s="1"/>
  <c r="Z152" i="1"/>
  <c r="AP152" i="1" s="1"/>
  <c r="Z153" i="1"/>
  <c r="AP153" i="1" s="1"/>
  <c r="Z154" i="1"/>
  <c r="AP154" i="1" s="1"/>
  <c r="Z155" i="1"/>
  <c r="AP155" i="1" s="1"/>
  <c r="Z156" i="1"/>
  <c r="AP156" i="1" s="1"/>
  <c r="Z157" i="1"/>
  <c r="AP157" i="1" s="1"/>
  <c r="Z158" i="1"/>
  <c r="AP158" i="1" s="1"/>
  <c r="Z159" i="1"/>
  <c r="AP159" i="1" s="1"/>
  <c r="F45" i="8"/>
  <c r="Z160" i="1"/>
  <c r="AP160" i="1" s="1"/>
  <c r="Z161" i="1"/>
  <c r="AP161" i="1" s="1"/>
  <c r="Z162" i="1"/>
  <c r="AP162" i="1" s="1"/>
  <c r="Z163" i="1"/>
  <c r="AP163" i="1" s="1"/>
  <c r="Z164" i="1"/>
  <c r="AP164" i="1" s="1"/>
  <c r="Z165" i="1"/>
  <c r="AP165" i="1" s="1"/>
  <c r="Z98" i="1"/>
  <c r="AP98" i="1" s="1"/>
  <c r="Z99" i="1"/>
  <c r="AP99" i="1" s="1"/>
  <c r="Z100" i="1"/>
  <c r="AP100" i="1" s="1"/>
  <c r="Z101" i="1"/>
  <c r="AP101" i="1" s="1"/>
  <c r="Z102" i="1"/>
  <c r="Z103" i="1"/>
  <c r="Z104" i="1"/>
  <c r="AP104" i="1" s="1"/>
  <c r="Z105" i="1"/>
  <c r="AP105" i="1" s="1"/>
  <c r="Z106" i="1"/>
  <c r="AP106" i="1" s="1"/>
  <c r="Z107" i="1"/>
  <c r="AP107" i="1" s="1"/>
  <c r="Z109" i="1"/>
  <c r="AP109" i="1" s="1"/>
  <c r="Z110" i="1"/>
  <c r="AP110" i="1" s="1"/>
  <c r="Z111" i="1"/>
  <c r="AP111" i="1" s="1"/>
  <c r="Z112" i="1"/>
  <c r="AP112" i="1" s="1"/>
  <c r="Z113" i="1"/>
  <c r="AP113" i="1" s="1"/>
  <c r="Z114" i="1"/>
  <c r="AP114" i="1" s="1"/>
  <c r="Z115" i="1"/>
  <c r="AP115" i="1" s="1"/>
  <c r="Z116" i="1"/>
  <c r="AP116" i="1" s="1"/>
  <c r="Z117" i="1"/>
  <c r="AP117" i="1" s="1"/>
  <c r="Z120" i="1"/>
  <c r="AP120" i="1" s="1"/>
  <c r="Z121" i="1"/>
  <c r="AP121" i="1" s="1"/>
  <c r="Z122" i="1"/>
  <c r="AP122" i="1" s="1"/>
  <c r="Z123" i="1"/>
  <c r="AP123" i="1" s="1"/>
  <c r="Z124" i="1"/>
  <c r="AP124" i="1" s="1"/>
  <c r="Z125" i="1"/>
  <c r="AP125" i="1" s="1"/>
  <c r="Z126" i="1"/>
  <c r="AP126" i="1" s="1"/>
  <c r="Z127" i="1"/>
  <c r="AP127" i="1" s="1"/>
  <c r="Z39" i="1"/>
  <c r="AP39" i="1" s="1"/>
  <c r="Z40" i="1"/>
  <c r="AP40" i="1" s="1"/>
  <c r="Z41" i="1"/>
  <c r="AP41" i="1" s="1"/>
  <c r="Z42" i="1"/>
  <c r="AP42" i="1" s="1"/>
  <c r="Z43" i="1"/>
  <c r="AP43" i="1" s="1"/>
  <c r="Z44" i="1"/>
  <c r="AP44" i="1" s="1"/>
  <c r="Z45" i="1"/>
  <c r="AP45" i="1" s="1"/>
  <c r="Z46" i="1"/>
  <c r="AP46" i="1" s="1"/>
  <c r="Z47" i="1"/>
  <c r="AP47" i="1" s="1"/>
  <c r="Z48" i="1"/>
  <c r="AP48" i="1" s="1"/>
  <c r="Z49" i="1"/>
  <c r="AP49" i="1" s="1"/>
  <c r="Z50" i="1"/>
  <c r="AP50" i="1" s="1"/>
  <c r="Z51" i="1"/>
  <c r="AP51" i="1" s="1"/>
  <c r="Z52" i="1"/>
  <c r="AP52" i="1" s="1"/>
  <c r="Z53" i="1"/>
  <c r="AP53" i="1" s="1"/>
  <c r="Z54" i="1"/>
  <c r="AP54" i="1" s="1"/>
  <c r="Z55" i="1"/>
  <c r="AP55" i="1" s="1"/>
  <c r="Z56" i="1"/>
  <c r="AP56" i="1" s="1"/>
  <c r="Z57" i="1"/>
  <c r="AP57" i="1" s="1"/>
  <c r="Z58" i="1"/>
  <c r="AP58" i="1" s="1"/>
  <c r="Z59" i="1"/>
  <c r="AP59" i="1" s="1"/>
  <c r="Z60" i="1"/>
  <c r="AP60" i="1" s="1"/>
  <c r="Z61" i="1"/>
  <c r="AP61" i="1" s="1"/>
  <c r="AP64" i="1"/>
  <c r="Z65" i="1"/>
  <c r="AP65" i="1" s="1"/>
  <c r="Z66" i="1"/>
  <c r="AP66" i="1" s="1"/>
  <c r="Z67" i="1"/>
  <c r="AP67" i="1" s="1"/>
  <c r="Z68" i="1"/>
  <c r="AP68" i="1" s="1"/>
  <c r="Z69" i="1"/>
  <c r="AP69" i="1" s="1"/>
  <c r="Z9" i="1"/>
  <c r="AP9" i="1" s="1"/>
  <c r="Z10" i="1"/>
  <c r="AP10" i="1" s="1"/>
  <c r="Z11" i="1"/>
  <c r="AP11" i="1" s="1"/>
  <c r="Z12" i="1"/>
  <c r="AP12" i="1" s="1"/>
  <c r="Z13" i="1"/>
  <c r="AP13" i="1" s="1"/>
  <c r="Z14" i="1"/>
  <c r="AP14" i="1" s="1"/>
  <c r="Z15" i="1"/>
  <c r="AP15" i="1" s="1"/>
  <c r="Z16" i="1"/>
  <c r="AP16" i="1" s="1"/>
  <c r="Z17" i="1"/>
  <c r="AP17" i="1" s="1"/>
  <c r="Z18" i="1"/>
  <c r="AP18" i="1" s="1"/>
  <c r="Z19" i="1"/>
  <c r="AP19" i="1" s="1"/>
  <c r="Z20" i="1"/>
  <c r="AP20" i="1" s="1"/>
  <c r="Z22" i="1"/>
  <c r="AP22" i="1" s="1"/>
  <c r="Z23" i="1"/>
  <c r="AP23" i="1" s="1"/>
  <c r="Z25" i="1"/>
  <c r="AP25" i="1" s="1"/>
  <c r="Z26" i="1"/>
  <c r="AP26" i="1" s="1"/>
  <c r="Z27" i="1"/>
  <c r="AP27" i="1" s="1"/>
  <c r="Z28" i="1"/>
  <c r="AP28" i="1" s="1"/>
  <c r="Z29" i="1"/>
  <c r="AP29" i="1" s="1"/>
  <c r="Z30" i="1"/>
  <c r="AP30" i="1" s="1"/>
  <c r="Z31" i="1"/>
  <c r="AP31" i="1" s="1"/>
  <c r="Z32" i="1"/>
  <c r="AP32" i="1" s="1"/>
  <c r="Z33" i="1"/>
  <c r="AP33" i="1" s="1"/>
  <c r="Z34" i="1"/>
  <c r="AP34" i="1" s="1"/>
  <c r="Z35" i="1"/>
  <c r="AP35" i="1" s="1"/>
  <c r="Z36" i="1"/>
  <c r="AP36" i="1" s="1"/>
  <c r="AA8" i="1"/>
  <c r="AQ8" i="1" s="1"/>
  <c r="Z8" i="1"/>
  <c r="AP8" i="1" s="1"/>
  <c r="E261" i="1" l="1"/>
  <c r="AQ435" i="1"/>
  <c r="AQ361" i="1"/>
  <c r="AQ449" i="1"/>
  <c r="AQ234" i="1"/>
  <c r="B59" i="9" s="1"/>
  <c r="AQ434" i="1"/>
  <c r="AQ427" i="1"/>
  <c r="AQ227" i="1"/>
  <c r="F37" i="8" s="1"/>
  <c r="AQ452" i="1"/>
  <c r="AQ431" i="1"/>
  <c r="AQ402" i="1"/>
  <c r="F34" i="8" s="1"/>
  <c r="F32" i="8" s="1"/>
  <c r="AQ445" i="1"/>
  <c r="AQ430" i="1"/>
  <c r="AQ423" i="1"/>
  <c r="AQ426" i="1"/>
  <c r="AQ481" i="1"/>
  <c r="AQ478" i="1"/>
  <c r="AQ422" i="1"/>
  <c r="F53" i="8"/>
  <c r="F47" i="8"/>
  <c r="F39" i="8"/>
  <c r="F64" i="8"/>
  <c r="F65" i="8"/>
  <c r="F51" i="8"/>
  <c r="F50" i="8" s="1"/>
  <c r="F54" i="8"/>
  <c r="F67" i="8"/>
  <c r="F41" i="8"/>
  <c r="F48" i="8"/>
  <c r="AE311" i="1"/>
  <c r="AQ311" i="1" s="1"/>
  <c r="F61" i="8" l="1"/>
  <c r="E287" i="1"/>
  <c r="E306" i="1"/>
  <c r="E337" i="1" s="1"/>
  <c r="F36" i="8"/>
  <c r="S19" i="10"/>
  <c r="S20" i="10"/>
  <c r="S26" i="10"/>
  <c r="C92" i="9" l="1"/>
  <c r="E367" i="1"/>
  <c r="E390" i="1" s="1"/>
  <c r="L9" i="8"/>
  <c r="E442" i="1" l="1"/>
  <c r="AA442" i="1" s="1"/>
  <c r="AQ442" i="1" l="1"/>
  <c r="AE397" i="1"/>
  <c r="AQ397" i="1" s="1"/>
  <c r="AE10" i="1" l="1"/>
  <c r="AQ10" i="1" s="1"/>
  <c r="C4" i="9" s="1"/>
  <c r="AE300" i="1" l="1"/>
  <c r="AQ300" i="1" s="1"/>
  <c r="E510" i="1" l="1"/>
  <c r="AA510" i="1" s="1"/>
  <c r="AQ510" i="1" s="1"/>
  <c r="AQ514" i="1"/>
  <c r="AE494" i="1"/>
  <c r="AQ494" i="1" s="1"/>
  <c r="F62" i="8" l="1"/>
  <c r="AA432" i="1"/>
  <c r="AQ432" i="1" s="1"/>
  <c r="AE470" i="1" l="1"/>
  <c r="AQ470" i="1" l="1"/>
  <c r="E438" i="1"/>
  <c r="D438" i="1"/>
  <c r="Z438" i="1" s="1"/>
  <c r="AP438" i="1" s="1"/>
  <c r="AA438" i="1" l="1"/>
  <c r="AA439" i="1"/>
  <c r="AQ439" i="1" l="1"/>
  <c r="F60" i="8" s="1"/>
  <c r="AQ438" i="1"/>
  <c r="F59" i="8" s="1"/>
  <c r="AE469" i="1"/>
  <c r="AQ469" i="1" s="1"/>
  <c r="AE342" i="1"/>
  <c r="AQ342" i="1" s="1"/>
  <c r="AE273" i="1"/>
  <c r="AQ273" i="1" s="1"/>
  <c r="C67" i="9"/>
  <c r="B67" i="9"/>
  <c r="F55" i="8"/>
  <c r="F49" i="8" l="1"/>
  <c r="F46" i="8" s="1"/>
  <c r="F52" i="8"/>
  <c r="D67" i="9"/>
  <c r="D21" i="1"/>
  <c r="D24" i="1"/>
  <c r="Z24" i="1" s="1"/>
  <c r="AP24" i="1" s="1"/>
  <c r="C95" i="9" l="1"/>
  <c r="C96" i="9"/>
  <c r="B28" i="9"/>
  <c r="Z21" i="1"/>
  <c r="AP21" i="1" s="1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28" i="9"/>
  <c r="B29" i="9"/>
  <c r="B36" i="9"/>
  <c r="B37" i="9"/>
  <c r="B40" i="9"/>
  <c r="D28" i="9" l="1"/>
  <c r="D40" i="9"/>
  <c r="D37" i="9"/>
  <c r="D36" i="9"/>
  <c r="D29" i="9"/>
  <c r="C44" i="9"/>
  <c r="E20" i="8" l="1"/>
  <c r="F19" i="8"/>
  <c r="H19" i="8" s="1"/>
  <c r="R38" i="10" l="1"/>
  <c r="Q38" i="10"/>
  <c r="N38" i="10"/>
  <c r="H38" i="10"/>
  <c r="P38" i="10"/>
  <c r="O38" i="10"/>
  <c r="M38" i="10"/>
  <c r="L38" i="10"/>
  <c r="K38" i="10"/>
  <c r="J38" i="10"/>
  <c r="I38" i="10"/>
  <c r="G38" i="10"/>
  <c r="F38" i="10"/>
  <c r="E38" i="10"/>
  <c r="D38" i="10"/>
  <c r="S36" i="10"/>
  <c r="S32" i="10"/>
  <c r="S31" i="10"/>
  <c r="S30" i="10"/>
  <c r="S29" i="10"/>
  <c r="F21" i="8" s="1"/>
  <c r="S28" i="10"/>
  <c r="S27" i="10"/>
  <c r="S25" i="10"/>
  <c r="S24" i="10"/>
  <c r="S23" i="10"/>
  <c r="S22" i="10"/>
  <c r="S21" i="10"/>
  <c r="S18" i="10"/>
  <c r="F12" i="8" s="1"/>
  <c r="H12" i="8" s="1"/>
  <c r="S17" i="10"/>
  <c r="F24" i="8" s="1"/>
  <c r="S16" i="10"/>
  <c r="F18" i="8" s="1"/>
  <c r="H18" i="8" s="1"/>
  <c r="S15" i="10"/>
  <c r="F17" i="8" s="1"/>
  <c r="H17" i="8" s="1"/>
  <c r="S13" i="10"/>
  <c r="F16" i="8" s="1"/>
  <c r="H16" i="8" s="1"/>
  <c r="S12" i="10"/>
  <c r="F15" i="8" s="1"/>
  <c r="H15" i="8" s="1"/>
  <c r="S11" i="10"/>
  <c r="F14" i="8" s="1"/>
  <c r="H14" i="8" s="1"/>
  <c r="S10" i="10"/>
  <c r="F13" i="8" s="1"/>
  <c r="C77" i="9" l="1"/>
  <c r="H21" i="8"/>
  <c r="C78" i="9"/>
  <c r="H13" i="8"/>
  <c r="C80" i="9"/>
  <c r="H24" i="8"/>
  <c r="C79" i="9"/>
  <c r="L12" i="8"/>
  <c r="F22" i="8"/>
  <c r="L14" i="8"/>
  <c r="C76" i="9"/>
  <c r="C81" i="9"/>
  <c r="L15" i="8"/>
  <c r="F11" i="8"/>
  <c r="L13" i="8"/>
  <c r="S37" i="10"/>
  <c r="F23" i="8" s="1"/>
  <c r="H23" i="8" s="1"/>
  <c r="C74" i="9" l="1"/>
  <c r="D74" i="9" s="1"/>
  <c r="H22" i="8"/>
  <c r="F20" i="8"/>
  <c r="S38" i="10"/>
  <c r="C75" i="9"/>
  <c r="C73" i="9" l="1"/>
  <c r="D73" i="9" s="1"/>
  <c r="F10" i="8"/>
  <c r="H20" i="8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F70" i="1"/>
  <c r="G70" i="1"/>
  <c r="H70" i="1"/>
  <c r="L70" i="1"/>
  <c r="M70" i="1"/>
  <c r="M96" i="1" s="1"/>
  <c r="N70" i="1"/>
  <c r="R70" i="1"/>
  <c r="S70" i="1"/>
  <c r="S96" i="1" s="1"/>
  <c r="T70" i="1"/>
  <c r="X70" i="1"/>
  <c r="Y70" i="1"/>
  <c r="Y96" i="1" s="1"/>
  <c r="AC70" i="1"/>
  <c r="AD70" i="1"/>
  <c r="AG70" i="1"/>
  <c r="AH70" i="1"/>
  <c r="AI70" i="1"/>
  <c r="AI166" i="1" s="1"/>
  <c r="AJ70" i="1"/>
  <c r="AM70" i="1"/>
  <c r="AN70" i="1"/>
  <c r="AO70" i="1"/>
  <c r="G96" i="1"/>
  <c r="X96" i="1"/>
  <c r="AG96" i="1"/>
  <c r="AH96" i="1"/>
  <c r="AI96" i="1"/>
  <c r="AJ96" i="1"/>
  <c r="AJ166" i="1" s="1"/>
  <c r="AM96" i="1"/>
  <c r="AN96" i="1"/>
  <c r="AG128" i="1"/>
  <c r="AI128" i="1"/>
  <c r="AJ128" i="1"/>
  <c r="AM128" i="1"/>
  <c r="AN128" i="1"/>
  <c r="AG166" i="1"/>
  <c r="AM166" i="1"/>
  <c r="AM229" i="1" s="1"/>
  <c r="AN166" i="1"/>
  <c r="AN229" i="1" s="1"/>
  <c r="AM193" i="1"/>
  <c r="AN193" i="1"/>
  <c r="AB306" i="1"/>
  <c r="E418" i="1"/>
  <c r="E484" i="1" s="1"/>
  <c r="C52" i="9"/>
  <c r="B52" i="9"/>
  <c r="AA38" i="1"/>
  <c r="C53" i="9"/>
  <c r="B53" i="9"/>
  <c r="AA71" i="1"/>
  <c r="AQ71" i="1" s="1"/>
  <c r="C54" i="9"/>
  <c r="B54" i="9"/>
  <c r="AA97" i="1"/>
  <c r="AQ97" i="1" s="1"/>
  <c r="C7" i="9" s="1"/>
  <c r="C55" i="9"/>
  <c r="B55" i="9"/>
  <c r="AA129" i="1"/>
  <c r="C56" i="9"/>
  <c r="B56" i="9"/>
  <c r="AA167" i="1"/>
  <c r="C57" i="9"/>
  <c r="B57" i="9"/>
  <c r="AA194" i="1"/>
  <c r="C58" i="9"/>
  <c r="B58" i="9"/>
  <c r="AA230" i="1"/>
  <c r="C59" i="9"/>
  <c r="AA262" i="1"/>
  <c r="C60" i="9"/>
  <c r="B60" i="9"/>
  <c r="AA288" i="1"/>
  <c r="AQ288" i="1" s="1"/>
  <c r="C13" i="9" s="1"/>
  <c r="C61" i="9"/>
  <c r="B61" i="9"/>
  <c r="AA307" i="1"/>
  <c r="AQ307" i="1" s="1"/>
  <c r="C14" i="9" s="1"/>
  <c r="C62" i="9"/>
  <c r="B62" i="9"/>
  <c r="AA338" i="1"/>
  <c r="C63" i="9"/>
  <c r="B63" i="9"/>
  <c r="AA368" i="1"/>
  <c r="C64" i="9"/>
  <c r="B64" i="9"/>
  <c r="AA391" i="1"/>
  <c r="C65" i="9"/>
  <c r="B65" i="9"/>
  <c r="AA420" i="1"/>
  <c r="C66" i="9"/>
  <c r="B66" i="9"/>
  <c r="F68" i="8"/>
  <c r="K23" i="8" l="1"/>
  <c r="F8" i="8"/>
  <c r="C93" i="9"/>
  <c r="Y128" i="1"/>
  <c r="M128" i="1"/>
  <c r="M166" i="1"/>
  <c r="S128" i="1"/>
  <c r="S166" i="1"/>
  <c r="AJ193" i="1"/>
  <c r="AI193" i="1"/>
  <c r="AB337" i="1"/>
  <c r="AB367" i="1" s="1"/>
  <c r="AB390" i="1" s="1"/>
  <c r="AB418" i="1" s="1"/>
  <c r="AB484" i="1" s="1"/>
  <c r="AB561" i="1" s="1"/>
  <c r="X128" i="1"/>
  <c r="E561" i="1"/>
  <c r="Q70" i="1"/>
  <c r="K70" i="1"/>
  <c r="AO96" i="1"/>
  <c r="AC96" i="1"/>
  <c r="T96" i="1"/>
  <c r="AL70" i="1"/>
  <c r="AF70" i="1"/>
  <c r="W70" i="1"/>
  <c r="P70" i="1"/>
  <c r="J70" i="1"/>
  <c r="AN261" i="1"/>
  <c r="G128" i="1"/>
  <c r="AK128" i="1"/>
  <c r="AK96" i="1"/>
  <c r="AK70" i="1"/>
  <c r="AE70" i="1"/>
  <c r="U70" i="1"/>
  <c r="O70" i="1"/>
  <c r="I70" i="1"/>
  <c r="AM261" i="1"/>
  <c r="AG193" i="1"/>
  <c r="AG229" i="1" s="1"/>
  <c r="C6" i="9"/>
  <c r="AQ420" i="1"/>
  <c r="L11" i="8"/>
  <c r="M12" i="8"/>
  <c r="K24" i="8"/>
  <c r="D52" i="9"/>
  <c r="D54" i="9"/>
  <c r="D56" i="9"/>
  <c r="D63" i="9"/>
  <c r="D53" i="9"/>
  <c r="D66" i="9"/>
  <c r="D65" i="9"/>
  <c r="D64" i="9"/>
  <c r="D61" i="9"/>
  <c r="D62" i="9"/>
  <c r="D60" i="9"/>
  <c r="D59" i="9"/>
  <c r="D58" i="9"/>
  <c r="B68" i="9"/>
  <c r="D57" i="9"/>
  <c r="C68" i="9"/>
  <c r="D55" i="9"/>
  <c r="AQ38" i="1"/>
  <c r="F28" i="8" s="1"/>
  <c r="AQ194" i="1"/>
  <c r="AQ262" i="1"/>
  <c r="C12" i="9" s="1"/>
  <c r="AQ230" i="1"/>
  <c r="AQ485" i="1"/>
  <c r="AQ167" i="1"/>
  <c r="C9" i="9" s="1"/>
  <c r="AQ129" i="1"/>
  <c r="AQ368" i="1"/>
  <c r="C16" i="9" s="1"/>
  <c r="AQ391" i="1"/>
  <c r="AQ338" i="1"/>
  <c r="C15" i="9" s="1"/>
  <c r="AA37" i="1"/>
  <c r="AQ37" i="1"/>
  <c r="E68" i="8"/>
  <c r="B93" i="9" s="1"/>
  <c r="E63" i="8"/>
  <c r="B91" i="9" s="1"/>
  <c r="E57" i="8"/>
  <c r="B90" i="9" s="1"/>
  <c r="E52" i="8"/>
  <c r="B95" i="9" s="1"/>
  <c r="E50" i="8"/>
  <c r="E46" i="8"/>
  <c r="B96" i="9" s="1"/>
  <c r="E41" i="8"/>
  <c r="E36" i="8"/>
  <c r="B92" i="9" s="1"/>
  <c r="E32" i="8"/>
  <c r="E27" i="8"/>
  <c r="E11" i="8"/>
  <c r="F58" i="8" l="1"/>
  <c r="E10" i="8"/>
  <c r="H10" i="8" s="1"/>
  <c r="H11" i="8"/>
  <c r="AQ535" i="1"/>
  <c r="F66" i="8" s="1"/>
  <c r="F63" i="8" s="1"/>
  <c r="E70" i="8"/>
  <c r="E8" i="8"/>
  <c r="E71" i="8" s="1"/>
  <c r="B94" i="9"/>
  <c r="B89" i="9" s="1"/>
  <c r="C18" i="9"/>
  <c r="I96" i="1"/>
  <c r="I128" i="1"/>
  <c r="AO193" i="1"/>
  <c r="AO229" i="1"/>
  <c r="AO128" i="1"/>
  <c r="AO287" i="1" s="1"/>
  <c r="AO166" i="1"/>
  <c r="Y166" i="1"/>
  <c r="O128" i="1"/>
  <c r="O96" i="1"/>
  <c r="AC128" i="1"/>
  <c r="AO261" i="1"/>
  <c r="AM287" i="1"/>
  <c r="S229" i="1"/>
  <c r="AI229" i="1"/>
  <c r="Y193" i="1"/>
  <c r="Y229" i="1" s="1"/>
  <c r="U128" i="1"/>
  <c r="U96" i="1"/>
  <c r="T128" i="1"/>
  <c r="K96" i="1"/>
  <c r="K128" i="1"/>
  <c r="S193" i="1"/>
  <c r="M193" i="1"/>
  <c r="M229" i="1" s="1"/>
  <c r="AG261" i="1"/>
  <c r="AG287" i="1" s="1"/>
  <c r="AE128" i="1"/>
  <c r="AE166" i="1"/>
  <c r="AE96" i="1"/>
  <c r="Q128" i="1"/>
  <c r="Q96" i="1"/>
  <c r="I166" i="1"/>
  <c r="AM306" i="1"/>
  <c r="AA70" i="1"/>
  <c r="AK166" i="1"/>
  <c r="P128" i="1"/>
  <c r="P166" i="1" s="1"/>
  <c r="P96" i="1"/>
  <c r="AL96" i="1"/>
  <c r="X229" i="1"/>
  <c r="X166" i="1"/>
  <c r="X193" i="1"/>
  <c r="AJ229" i="1"/>
  <c r="AN287" i="1"/>
  <c r="T166" i="1"/>
  <c r="W128" i="1"/>
  <c r="W96" i="1"/>
  <c r="G166" i="1"/>
  <c r="AC166" i="1"/>
  <c r="C11" i="9"/>
  <c r="AQ70" i="1"/>
  <c r="AQ96" i="1" s="1"/>
  <c r="C5" i="9"/>
  <c r="C8" i="9"/>
  <c r="C10" i="9"/>
  <c r="C17" i="9"/>
  <c r="F27" i="8"/>
  <c r="C19" i="9"/>
  <c r="D68" i="9"/>
  <c r="Z92" i="1"/>
  <c r="AP92" i="1" s="1"/>
  <c r="Z72" i="1"/>
  <c r="AP72" i="1" s="1"/>
  <c r="Z73" i="1"/>
  <c r="AP73" i="1" s="1"/>
  <c r="Z74" i="1"/>
  <c r="AP74" i="1" s="1"/>
  <c r="Z75" i="1"/>
  <c r="AP75" i="1" s="1"/>
  <c r="Z76" i="1"/>
  <c r="AP76" i="1" s="1"/>
  <c r="Z77" i="1"/>
  <c r="AP77" i="1" s="1"/>
  <c r="Z78" i="1"/>
  <c r="AP78" i="1" s="1"/>
  <c r="Z80" i="1"/>
  <c r="AP80" i="1" s="1"/>
  <c r="Z81" i="1"/>
  <c r="AP81" i="1" s="1"/>
  <c r="Z82" i="1"/>
  <c r="AP82" i="1" s="1"/>
  <c r="Z83" i="1"/>
  <c r="AP83" i="1" s="1"/>
  <c r="Z84" i="1"/>
  <c r="AP84" i="1" s="1"/>
  <c r="Z85" i="1"/>
  <c r="AP85" i="1" s="1"/>
  <c r="Z86" i="1"/>
  <c r="AP86" i="1" s="1"/>
  <c r="Z87" i="1"/>
  <c r="Z88" i="1"/>
  <c r="AP88" i="1" s="1"/>
  <c r="Z89" i="1"/>
  <c r="AP89" i="1" s="1"/>
  <c r="Z90" i="1"/>
  <c r="AP90" i="1" s="1"/>
  <c r="Z91" i="1"/>
  <c r="AP91" i="1" s="1"/>
  <c r="Z93" i="1"/>
  <c r="AP93" i="1" s="1"/>
  <c r="Z94" i="1"/>
  <c r="AP94" i="1" s="1"/>
  <c r="Z95" i="1"/>
  <c r="AP95" i="1" s="1"/>
  <c r="D559" i="1"/>
  <c r="Z559" i="1" s="1"/>
  <c r="AP559" i="1" s="1"/>
  <c r="L10" i="8" l="1"/>
  <c r="C91" i="9"/>
  <c r="P193" i="1"/>
  <c r="P229" i="1"/>
  <c r="AI287" i="1"/>
  <c r="K166" i="1"/>
  <c r="U166" i="1"/>
  <c r="O166" i="1"/>
  <c r="AJ261" i="1"/>
  <c r="G193" i="1"/>
  <c r="AG306" i="1"/>
  <c r="M287" i="1"/>
  <c r="AM337" i="1"/>
  <c r="AM367" i="1" s="1"/>
  <c r="AQ128" i="1"/>
  <c r="AJ287" i="1"/>
  <c r="AC193" i="1"/>
  <c r="AL128" i="1"/>
  <c r="AK193" i="1"/>
  <c r="Q166" i="1"/>
  <c r="AE193" i="1"/>
  <c r="AJ306" i="1"/>
  <c r="AJ337" i="1" s="1"/>
  <c r="T193" i="1"/>
  <c r="T229" i="1" s="1"/>
  <c r="AN306" i="1"/>
  <c r="AN337" i="1" s="1"/>
  <c r="AN367" i="1" s="1"/>
  <c r="M261" i="1"/>
  <c r="S261" i="1"/>
  <c r="S287" i="1" s="1"/>
  <c r="AI261" i="1"/>
  <c r="G229" i="1"/>
  <c r="AO306" i="1"/>
  <c r="I193" i="1"/>
  <c r="W166" i="1"/>
  <c r="X261" i="1"/>
  <c r="AA96" i="1"/>
  <c r="G287" i="1"/>
  <c r="Y261" i="1"/>
  <c r="C94" i="9"/>
  <c r="B43" i="9"/>
  <c r="D43" i="9" s="1"/>
  <c r="C20" i="9"/>
  <c r="D79" i="1"/>
  <c r="B30" i="9" s="1"/>
  <c r="S306" i="1" l="1"/>
  <c r="G306" i="1"/>
  <c r="G337" i="1" s="1"/>
  <c r="AG337" i="1"/>
  <c r="AG367" i="1" s="1"/>
  <c r="AE229" i="1"/>
  <c r="AE261" i="1"/>
  <c r="AJ367" i="1"/>
  <c r="P261" i="1"/>
  <c r="X287" i="1"/>
  <c r="X306" i="1" s="1"/>
  <c r="I261" i="1"/>
  <c r="T261" i="1"/>
  <c r="T306" i="1" s="1"/>
  <c r="Q193" i="1"/>
  <c r="Q229" i="1" s="1"/>
  <c r="T287" i="1"/>
  <c r="Y287" i="1"/>
  <c r="AK229" i="1"/>
  <c r="AK261" i="1"/>
  <c r="AA128" i="1"/>
  <c r="K193" i="1"/>
  <c r="AN390" i="1"/>
  <c r="AN484" i="1" s="1"/>
  <c r="AN561" i="1" s="1"/>
  <c r="AQ166" i="1"/>
  <c r="I229" i="1"/>
  <c r="AL166" i="1"/>
  <c r="W193" i="1"/>
  <c r="AM484" i="1"/>
  <c r="AM390" i="1"/>
  <c r="AC229" i="1"/>
  <c r="AC261" i="1" s="1"/>
  <c r="M306" i="1"/>
  <c r="AO337" i="1"/>
  <c r="AO367" i="1" s="1"/>
  <c r="M337" i="1"/>
  <c r="M367" i="1" s="1"/>
  <c r="M390" i="1" s="1"/>
  <c r="AM418" i="1"/>
  <c r="O193" i="1"/>
  <c r="O229" i="1"/>
  <c r="AN418" i="1"/>
  <c r="AI306" i="1"/>
  <c r="AI337" i="1" s="1"/>
  <c r="S337" i="1"/>
  <c r="U193" i="1"/>
  <c r="AM561" i="1"/>
  <c r="AQ193" i="1"/>
  <c r="D30" i="9"/>
  <c r="Z79" i="1"/>
  <c r="AP79" i="1" s="1"/>
  <c r="V62" i="1"/>
  <c r="AG390" i="1" l="1"/>
  <c r="AG484" i="1" s="1"/>
  <c r="AG561" i="1" s="1"/>
  <c r="AG418" i="1"/>
  <c r="G367" i="1"/>
  <c r="G390" i="1"/>
  <c r="W229" i="1"/>
  <c r="M418" i="1"/>
  <c r="M484" i="1" s="1"/>
  <c r="M561" i="1" s="1"/>
  <c r="I287" i="1"/>
  <c r="AL193" i="1"/>
  <c r="X337" i="1"/>
  <c r="AQ229" i="1"/>
  <c r="S367" i="1"/>
  <c r="AI367" i="1"/>
  <c r="AA166" i="1"/>
  <c r="AE287" i="1"/>
  <c r="T337" i="1"/>
  <c r="T367" i="1" s="1"/>
  <c r="O261" i="1"/>
  <c r="I306" i="1"/>
  <c r="I418" i="1" s="1"/>
  <c r="Y306" i="1"/>
  <c r="Q261" i="1"/>
  <c r="X367" i="1"/>
  <c r="X418" i="1" s="1"/>
  <c r="X484" i="1" s="1"/>
  <c r="X561" i="1" s="1"/>
  <c r="P287" i="1"/>
  <c r="G418" i="1"/>
  <c r="G484" i="1" s="1"/>
  <c r="G561" i="1" s="1"/>
  <c r="AJ390" i="1"/>
  <c r="AJ418" i="1" s="1"/>
  <c r="AJ484" i="1" s="1"/>
  <c r="AJ561" i="1" s="1"/>
  <c r="AQ261" i="1"/>
  <c r="K229" i="1"/>
  <c r="K261" i="1" s="1"/>
  <c r="X390" i="1"/>
  <c r="U287" i="1"/>
  <c r="U337" i="1"/>
  <c r="U367" i="1" s="1"/>
  <c r="U229" i="1"/>
  <c r="U261" i="1"/>
  <c r="U390" i="1" s="1"/>
  <c r="U306" i="1"/>
  <c r="AI390" i="1"/>
  <c r="AI418" i="1" s="1"/>
  <c r="O287" i="1"/>
  <c r="AC287" i="1"/>
  <c r="AC306" i="1" s="1"/>
  <c r="AK287" i="1"/>
  <c r="AO390" i="1"/>
  <c r="AO418" i="1" s="1"/>
  <c r="AO484" i="1" s="1"/>
  <c r="AO561" i="1" s="1"/>
  <c r="I337" i="1"/>
  <c r="I367" i="1" s="1"/>
  <c r="I390" i="1" s="1"/>
  <c r="V70" i="1"/>
  <c r="Z62" i="1"/>
  <c r="AP62" i="1" s="1"/>
  <c r="S28" i="2"/>
  <c r="S29" i="2"/>
  <c r="S30" i="2"/>
  <c r="S31" i="2"/>
  <c r="AC337" i="1" l="1"/>
  <c r="AC390" i="1" s="1"/>
  <c r="AC418" i="1" s="1"/>
  <c r="AC484" i="1" s="1"/>
  <c r="AC561" i="1" s="1"/>
  <c r="P390" i="1"/>
  <c r="T390" i="1"/>
  <c r="T418" i="1"/>
  <c r="T484" i="1" s="1"/>
  <c r="T561" i="1" s="1"/>
  <c r="I484" i="1"/>
  <c r="U418" i="1"/>
  <c r="U484" i="1" s="1"/>
  <c r="U561" i="1" s="1"/>
  <c r="O306" i="1"/>
  <c r="P337" i="1"/>
  <c r="Y337" i="1"/>
  <c r="P306" i="1"/>
  <c r="P367" i="1"/>
  <c r="W261" i="1"/>
  <c r="AC367" i="1"/>
  <c r="K287" i="1"/>
  <c r="S390" i="1"/>
  <c r="S418" i="1" s="1"/>
  <c r="S484" i="1" s="1"/>
  <c r="S561" i="1" s="1"/>
  <c r="P418" i="1"/>
  <c r="P484" i="1" s="1"/>
  <c r="P561" i="1" s="1"/>
  <c r="I561" i="1"/>
  <c r="Q287" i="1"/>
  <c r="AE306" i="1"/>
  <c r="AE337" i="1" s="1"/>
  <c r="AE367" i="1" s="1"/>
  <c r="AE390" i="1" s="1"/>
  <c r="V128" i="1"/>
  <c r="V166" i="1"/>
  <c r="V96" i="1"/>
  <c r="AK306" i="1"/>
  <c r="AI484" i="1"/>
  <c r="AI561" i="1" s="1"/>
  <c r="AA193" i="1"/>
  <c r="AA229" i="1"/>
  <c r="AA261" i="1"/>
  <c r="AA287" i="1" s="1"/>
  <c r="AQ287" i="1" s="1"/>
  <c r="AL229" i="1"/>
  <c r="AD474" i="1"/>
  <c r="AE418" i="1" l="1"/>
  <c r="AE484" i="1" s="1"/>
  <c r="AE561" i="1" s="1"/>
  <c r="Y367" i="1"/>
  <c r="Y390" i="1" s="1"/>
  <c r="Y418" i="1" s="1"/>
  <c r="Y484" i="1" s="1"/>
  <c r="Y561" i="1"/>
  <c r="AQ367" i="1"/>
  <c r="AQ390" i="1" s="1"/>
  <c r="AQ418" i="1" s="1"/>
  <c r="AQ484" i="1" s="1"/>
  <c r="AQ561" i="1" s="1"/>
  <c r="AL261" i="1"/>
  <c r="AL287" i="1" s="1"/>
  <c r="AL306" i="1"/>
  <c r="AL337" i="1" s="1"/>
  <c r="AL367" i="1"/>
  <c r="AL390" i="1" s="1"/>
  <c r="AL418" i="1" s="1"/>
  <c r="AL484" i="1" s="1"/>
  <c r="K306" i="1"/>
  <c r="K337" i="1" s="1"/>
  <c r="K367" i="1" s="1"/>
  <c r="K390" i="1" s="1"/>
  <c r="K418" i="1" s="1"/>
  <c r="K484" i="1" s="1"/>
  <c r="K561" i="1" s="1"/>
  <c r="AK337" i="1"/>
  <c r="AK367" i="1" s="1"/>
  <c r="AK390" i="1" s="1"/>
  <c r="AK418" i="1" s="1"/>
  <c r="AK484" i="1" s="1"/>
  <c r="AK561" i="1" s="1"/>
  <c r="AA306" i="1"/>
  <c r="AQ306" i="1" s="1"/>
  <c r="AQ337" i="1" s="1"/>
  <c r="W287" i="1"/>
  <c r="Q306" i="1"/>
  <c r="Q337" i="1" s="1"/>
  <c r="V193" i="1"/>
  <c r="AA337" i="1"/>
  <c r="AA367" i="1" s="1"/>
  <c r="AA390" i="1" s="1"/>
  <c r="AA418" i="1" s="1"/>
  <c r="AA484" i="1" s="1"/>
  <c r="AA561" i="1" s="1"/>
  <c r="O337" i="1"/>
  <c r="O367" i="1"/>
  <c r="O390" i="1"/>
  <c r="O418" i="1" s="1"/>
  <c r="O484" i="1" s="1"/>
  <c r="O561" i="1" s="1"/>
  <c r="AP474" i="1"/>
  <c r="AL506" i="1"/>
  <c r="AP506" i="1" s="1"/>
  <c r="D16" i="2"/>
  <c r="F57" i="8" l="1"/>
  <c r="Q367" i="1"/>
  <c r="Q390" i="1" s="1"/>
  <c r="V229" i="1"/>
  <c r="V261" i="1" s="1"/>
  <c r="Q418" i="1"/>
  <c r="Q484" i="1" s="1"/>
  <c r="Q561" i="1" s="1"/>
  <c r="W306" i="1"/>
  <c r="AL561" i="1"/>
  <c r="S27" i="2"/>
  <c r="S16" i="2"/>
  <c r="S13" i="2"/>
  <c r="S15" i="2"/>
  <c r="D204" i="1"/>
  <c r="AH102" i="1"/>
  <c r="AP102" i="1" s="1"/>
  <c r="AH103" i="1"/>
  <c r="AP103" i="1" s="1"/>
  <c r="C32" i="2"/>
  <c r="S32" i="2" s="1"/>
  <c r="D442" i="1"/>
  <c r="Z442" i="1" s="1"/>
  <c r="AP442" i="1" s="1"/>
  <c r="D404" i="1"/>
  <c r="D351" i="1"/>
  <c r="D322" i="1"/>
  <c r="D246" i="1"/>
  <c r="Z246" i="1" s="1"/>
  <c r="AP246" i="1" s="1"/>
  <c r="D240" i="1"/>
  <c r="D182" i="1"/>
  <c r="Z182" i="1" s="1"/>
  <c r="AP182" i="1" s="1"/>
  <c r="D177" i="1"/>
  <c r="D144" i="1"/>
  <c r="Z144" i="1" s="1"/>
  <c r="AP144" i="1" s="1"/>
  <c r="D139" i="1"/>
  <c r="D119" i="1"/>
  <c r="Z119" i="1" s="1"/>
  <c r="AP119" i="1" s="1"/>
  <c r="D118" i="1"/>
  <c r="Z118" i="1" s="1"/>
  <c r="AP118" i="1" s="1"/>
  <c r="D108" i="1"/>
  <c r="D429" i="1"/>
  <c r="Z429" i="1" s="1"/>
  <c r="AP429" i="1" s="1"/>
  <c r="D425" i="1"/>
  <c r="Z425" i="1" s="1"/>
  <c r="AP425" i="1" s="1"/>
  <c r="D421" i="1"/>
  <c r="AD87" i="1"/>
  <c r="AP87" i="1" s="1"/>
  <c r="Z485" i="1"/>
  <c r="S26" i="2"/>
  <c r="F71" i="1"/>
  <c r="H71" i="1"/>
  <c r="J71" i="1"/>
  <c r="L71" i="1"/>
  <c r="N71" i="1"/>
  <c r="R71" i="1"/>
  <c r="AD71" i="1"/>
  <c r="AF71" i="1"/>
  <c r="Z368" i="1"/>
  <c r="AF168" i="1"/>
  <c r="Z167" i="1"/>
  <c r="Z391" i="1"/>
  <c r="Z338" i="1"/>
  <c r="AP338" i="1" s="1"/>
  <c r="Z307" i="1"/>
  <c r="Z288" i="1"/>
  <c r="Z262" i="1"/>
  <c r="Z230" i="1"/>
  <c r="Z194" i="1"/>
  <c r="Z129" i="1"/>
  <c r="Z97" i="1"/>
  <c r="Z38" i="1"/>
  <c r="Z420" i="1"/>
  <c r="S11" i="2"/>
  <c r="S12" i="2"/>
  <c r="S14" i="2"/>
  <c r="S18" i="2"/>
  <c r="S19" i="2"/>
  <c r="S20" i="2"/>
  <c r="S21" i="2"/>
  <c r="S22" i="2"/>
  <c r="S23" i="2"/>
  <c r="S24" i="2"/>
  <c r="S25" i="2"/>
  <c r="S10" i="2"/>
  <c r="S17" i="2"/>
  <c r="F70" i="8" l="1"/>
  <c r="N41" i="8" s="1"/>
  <c r="C90" i="9"/>
  <c r="C89" i="9" s="1"/>
  <c r="D93" i="9" s="1"/>
  <c r="V287" i="1"/>
  <c r="AL419" i="1"/>
  <c r="AL562" i="1" s="1"/>
  <c r="B122" i="9" s="1"/>
  <c r="W337" i="1"/>
  <c r="W367" i="1" s="1"/>
  <c r="W390" i="1"/>
  <c r="W418" i="1" s="1"/>
  <c r="W484" i="1" s="1"/>
  <c r="W561" i="1" s="1"/>
  <c r="Z177" i="1"/>
  <c r="AP177" i="1" s="1"/>
  <c r="B33" i="9"/>
  <c r="D33" i="9" s="1"/>
  <c r="Z404" i="1"/>
  <c r="AP404" i="1" s="1"/>
  <c r="B41" i="9"/>
  <c r="D41" i="9" s="1"/>
  <c r="Z108" i="1"/>
  <c r="AP108" i="1" s="1"/>
  <c r="B31" i="9"/>
  <c r="AP168" i="1"/>
  <c r="Z240" i="1"/>
  <c r="AP240" i="1" s="1"/>
  <c r="B35" i="9"/>
  <c r="D35" i="9" s="1"/>
  <c r="Z421" i="1"/>
  <c r="AP421" i="1" s="1"/>
  <c r="B42" i="9"/>
  <c r="D42" i="9" s="1"/>
  <c r="Z139" i="1"/>
  <c r="AP139" i="1" s="1"/>
  <c r="B32" i="9"/>
  <c r="D32" i="9" s="1"/>
  <c r="Z322" i="1"/>
  <c r="AP322" i="1" s="1"/>
  <c r="B38" i="9"/>
  <c r="D38" i="9" s="1"/>
  <c r="Z351" i="1"/>
  <c r="AP351" i="1" s="1"/>
  <c r="B15" i="9" s="1"/>
  <c r="D15" i="9" s="1"/>
  <c r="B39" i="9"/>
  <c r="D39" i="9" s="1"/>
  <c r="Z204" i="1"/>
  <c r="AP204" i="1" s="1"/>
  <c r="B34" i="9"/>
  <c r="D34" i="9" s="1"/>
  <c r="AP230" i="1"/>
  <c r="AP262" i="1"/>
  <c r="R96" i="1"/>
  <c r="N96" i="1"/>
  <c r="AP97" i="1"/>
  <c r="AP194" i="1"/>
  <c r="AP307" i="1"/>
  <c r="L96" i="1"/>
  <c r="AP38" i="1"/>
  <c r="J96" i="1"/>
  <c r="AP391" i="1"/>
  <c r="AP368" i="1"/>
  <c r="AF96" i="1"/>
  <c r="H96" i="1"/>
  <c r="AP485" i="1"/>
  <c r="AH128" i="1"/>
  <c r="AP420" i="1"/>
  <c r="Z37" i="1"/>
  <c r="AP129" i="1"/>
  <c r="AP288" i="1"/>
  <c r="AP167" i="1"/>
  <c r="AD96" i="1"/>
  <c r="F96" i="1"/>
  <c r="Z71" i="1"/>
  <c r="D37" i="1"/>
  <c r="D96" i="9" l="1"/>
  <c r="N36" i="8"/>
  <c r="N50" i="8"/>
  <c r="N63" i="8"/>
  <c r="N52" i="8"/>
  <c r="N57" i="8"/>
  <c r="N32" i="8"/>
  <c r="F71" i="8"/>
  <c r="D94" i="9"/>
  <c r="N46" i="8"/>
  <c r="D95" i="9"/>
  <c r="D89" i="9"/>
  <c r="D91" i="9"/>
  <c r="D92" i="9"/>
  <c r="H70" i="8"/>
  <c r="N68" i="8"/>
  <c r="D90" i="9"/>
  <c r="N27" i="8"/>
  <c r="AH166" i="1"/>
  <c r="AH229" i="1" s="1"/>
  <c r="AH193" i="1"/>
  <c r="AD128" i="1"/>
  <c r="J128" i="1"/>
  <c r="H128" i="1"/>
  <c r="Z70" i="1"/>
  <c r="N128" i="1"/>
  <c r="N166" i="1"/>
  <c r="AF128" i="1"/>
  <c r="R128" i="1"/>
  <c r="D70" i="1"/>
  <c r="F128" i="1"/>
  <c r="F166" i="1"/>
  <c r="L128" i="1"/>
  <c r="L193" i="1" s="1"/>
  <c r="L166" i="1"/>
  <c r="V306" i="1"/>
  <c r="V337" i="1" s="1"/>
  <c r="V367" i="1" s="1"/>
  <c r="D31" i="9"/>
  <c r="D44" i="9" s="1"/>
  <c r="B44" i="9"/>
  <c r="B8" i="9"/>
  <c r="B19" i="9"/>
  <c r="B16" i="9"/>
  <c r="B5" i="9"/>
  <c r="B10" i="9"/>
  <c r="B9" i="9"/>
  <c r="B17" i="9"/>
  <c r="B7" i="9"/>
  <c r="D7" i="9" s="1"/>
  <c r="B12" i="9"/>
  <c r="B18" i="9"/>
  <c r="B13" i="9"/>
  <c r="B14" i="9"/>
  <c r="B11" i="9"/>
  <c r="AP71" i="1"/>
  <c r="Z96" i="1"/>
  <c r="AP37" i="1"/>
  <c r="AP70" i="1" s="1"/>
  <c r="B4" i="9"/>
  <c r="D4" i="9" s="1"/>
  <c r="E4" i="9" s="1"/>
  <c r="Z128" i="1" l="1"/>
  <c r="Z166" i="1"/>
  <c r="F229" i="1"/>
  <c r="AF166" i="1"/>
  <c r="H166" i="1"/>
  <c r="AD166" i="1"/>
  <c r="F261" i="1"/>
  <c r="F193" i="1"/>
  <c r="N193" i="1"/>
  <c r="AD229" i="1"/>
  <c r="V390" i="1"/>
  <c r="V418" i="1" s="1"/>
  <c r="V484" i="1" s="1"/>
  <c r="V561" i="1" s="1"/>
  <c r="D96" i="1"/>
  <c r="AD193" i="1"/>
  <c r="AH261" i="1"/>
  <c r="Z193" i="1"/>
  <c r="L229" i="1"/>
  <c r="H193" i="1"/>
  <c r="R166" i="1"/>
  <c r="J166" i="1"/>
  <c r="D12" i="9"/>
  <c r="E12" i="9" s="1"/>
  <c r="D14" i="9"/>
  <c r="E14" i="9" s="1"/>
  <c r="D16" i="9"/>
  <c r="E16" i="9" s="1"/>
  <c r="D11" i="9"/>
  <c r="E11" i="9" s="1"/>
  <c r="D9" i="9"/>
  <c r="E9" i="9" s="1"/>
  <c r="D10" i="9"/>
  <c r="E10" i="9" s="1"/>
  <c r="D19" i="9"/>
  <c r="E19" i="9" s="1"/>
  <c r="D13" i="9"/>
  <c r="E13" i="9" s="1"/>
  <c r="D17" i="9"/>
  <c r="E17" i="9" s="1"/>
  <c r="D8" i="9"/>
  <c r="E8" i="9" s="1"/>
  <c r="D18" i="9"/>
  <c r="E18" i="9" s="1"/>
  <c r="D5" i="9"/>
  <c r="E5" i="9" s="1"/>
  <c r="E7" i="9"/>
  <c r="F36" i="2"/>
  <c r="F33" i="2" s="1"/>
  <c r="F34" i="2" s="1"/>
  <c r="AP96" i="1"/>
  <c r="B6" i="9"/>
  <c r="E36" i="2"/>
  <c r="E33" i="2" s="1"/>
  <c r="E34" i="2" s="1"/>
  <c r="E15" i="9"/>
  <c r="D128" i="1" l="1"/>
  <c r="AF193" i="1"/>
  <c r="AF229" i="1"/>
  <c r="AF261" i="1" s="1"/>
  <c r="R193" i="1"/>
  <c r="H229" i="1"/>
  <c r="Z229" i="1"/>
  <c r="L261" i="1"/>
  <c r="AH287" i="1"/>
  <c r="AH306" i="1" s="1"/>
  <c r="J193" i="1"/>
  <c r="AD261" i="1"/>
  <c r="AD287" i="1" s="1"/>
  <c r="N229" i="1"/>
  <c r="N306" i="1" s="1"/>
  <c r="F287" i="1"/>
  <c r="J229" i="1"/>
  <c r="AP128" i="1"/>
  <c r="H36" i="2" s="1"/>
  <c r="H33" i="2" s="1"/>
  <c r="H34" i="2" s="1"/>
  <c r="AH337" i="1"/>
  <c r="N261" i="1"/>
  <c r="N287" i="1" s="1"/>
  <c r="AF287" i="1"/>
  <c r="D6" i="9"/>
  <c r="E6" i="9" s="1"/>
  <c r="B20" i="9"/>
  <c r="G36" i="2"/>
  <c r="G33" i="2" s="1"/>
  <c r="L287" i="1" l="1"/>
  <c r="AP166" i="1"/>
  <c r="N337" i="1"/>
  <c r="N367" i="1" s="1"/>
  <c r="F306" i="1"/>
  <c r="Z261" i="1"/>
  <c r="AD306" i="1"/>
  <c r="AD337" i="1" s="1"/>
  <c r="R229" i="1"/>
  <c r="H261" i="1"/>
  <c r="J261" i="1"/>
  <c r="AF306" i="1"/>
  <c r="AF337" i="1" s="1"/>
  <c r="AH367" i="1"/>
  <c r="AH390" i="1" s="1"/>
  <c r="D166" i="1"/>
  <c r="D20" i="9"/>
  <c r="E20" i="9" s="1"/>
  <c r="G34" i="2"/>
  <c r="AP193" i="1" l="1"/>
  <c r="J36" i="2" s="1"/>
  <c r="J33" i="2" s="1"/>
  <c r="I36" i="2"/>
  <c r="I33" i="2" s="1"/>
  <c r="I34" i="2" s="1"/>
  <c r="AP229" i="1"/>
  <c r="L36" i="2" s="1"/>
  <c r="L33" i="2" s="1"/>
  <c r="L34" i="2" s="1"/>
  <c r="AP261" i="1"/>
  <c r="L306" i="1"/>
  <c r="L337" i="1" s="1"/>
  <c r="AH418" i="1"/>
  <c r="AH484" i="1" s="1"/>
  <c r="AH561" i="1" s="1"/>
  <c r="AD367" i="1"/>
  <c r="AD390" i="1" s="1"/>
  <c r="N390" i="1"/>
  <c r="N484" i="1" s="1"/>
  <c r="N561" i="1" s="1"/>
  <c r="J287" i="1"/>
  <c r="J306" i="1" s="1"/>
  <c r="J337" i="1" s="1"/>
  <c r="J367" i="1" s="1"/>
  <c r="J390" i="1" s="1"/>
  <c r="J418" i="1" s="1"/>
  <c r="J484" i="1" s="1"/>
  <c r="J561" i="1" s="1"/>
  <c r="AD418" i="1"/>
  <c r="F337" i="1"/>
  <c r="F367" i="1" s="1"/>
  <c r="F390" i="1" s="1"/>
  <c r="F418" i="1" s="1"/>
  <c r="F484" i="1" s="1"/>
  <c r="F561" i="1" s="1"/>
  <c r="AF367" i="1"/>
  <c r="AF390" i="1" s="1"/>
  <c r="AF418" i="1" s="1"/>
  <c r="AF484" i="1" s="1"/>
  <c r="AF561" i="1" s="1"/>
  <c r="N418" i="1"/>
  <c r="R261" i="1"/>
  <c r="D229" i="1"/>
  <c r="D261" i="1" s="1"/>
  <c r="D193" i="1"/>
  <c r="H287" i="1"/>
  <c r="Z287" i="1"/>
  <c r="AP287" i="1" l="1"/>
  <c r="M36" i="2" s="1"/>
  <c r="M33" i="2" s="1"/>
  <c r="M34" i="2" s="1"/>
  <c r="K36" i="2"/>
  <c r="K33" i="2" s="1"/>
  <c r="K34" i="2" s="1"/>
  <c r="AP306" i="1"/>
  <c r="D287" i="1"/>
  <c r="D306" i="1" s="1"/>
  <c r="D337" i="1" s="1"/>
  <c r="D367" i="1" s="1"/>
  <c r="D390" i="1" s="1"/>
  <c r="D418" i="1" s="1"/>
  <c r="H367" i="1"/>
  <c r="H390" i="1" s="1"/>
  <c r="H418" i="1" s="1"/>
  <c r="H484" i="1" s="1"/>
  <c r="H561" i="1" s="1"/>
  <c r="H306" i="1"/>
  <c r="H337" i="1"/>
  <c r="J34" i="2"/>
  <c r="Z306" i="1"/>
  <c r="R287" i="1"/>
  <c r="AD484" i="1"/>
  <c r="AD561" i="1" s="1"/>
  <c r="L367" i="1"/>
  <c r="L390" i="1" s="1"/>
  <c r="L418" i="1" s="1"/>
  <c r="L484" i="1" s="1"/>
  <c r="L561" i="1" s="1"/>
  <c r="AP337" i="1" l="1"/>
  <c r="N36" i="2"/>
  <c r="N33" i="2" s="1"/>
  <c r="N34" i="2" s="1"/>
  <c r="Z337" i="1"/>
  <c r="Z367" i="1" s="1"/>
  <c r="Z390" i="1" s="1"/>
  <c r="Z418" i="1" s="1"/>
  <c r="Z484" i="1" s="1"/>
  <c r="Z561" i="1" s="1"/>
  <c r="R306" i="1"/>
  <c r="R337" i="1" s="1"/>
  <c r="R367" i="1" s="1"/>
  <c r="R390" i="1"/>
  <c r="R418" i="1" s="1"/>
  <c r="R484" i="1" s="1"/>
  <c r="R561" i="1" s="1"/>
  <c r="D484" i="1"/>
  <c r="D561" i="1" s="1"/>
  <c r="L419" i="1"/>
  <c r="L562" i="1" s="1"/>
  <c r="B110" i="9" s="1"/>
  <c r="N419" i="1"/>
  <c r="N562" i="1" s="1"/>
  <c r="B111" i="9" s="1"/>
  <c r="AF419" i="1"/>
  <c r="AF562" i="1" s="1"/>
  <c r="B119" i="9" s="1"/>
  <c r="AD419" i="1"/>
  <c r="AD562" i="1" s="1"/>
  <c r="B118" i="9" s="1"/>
  <c r="F419" i="1"/>
  <c r="F562" i="1" s="1"/>
  <c r="B107" i="9" s="1"/>
  <c r="H419" i="1"/>
  <c r="H562" i="1" s="1"/>
  <c r="B108" i="9" s="1"/>
  <c r="AH419" i="1"/>
  <c r="AH562" i="1" s="1"/>
  <c r="B120" i="9" s="1"/>
  <c r="D419" i="1"/>
  <c r="J419" i="1"/>
  <c r="J562" i="1" s="1"/>
  <c r="B109" i="9" s="1"/>
  <c r="V419" i="1"/>
  <c r="V562" i="1" s="1"/>
  <c r="B115" i="9" s="1"/>
  <c r="AQ419" i="1"/>
  <c r="AQ562" i="1" s="1"/>
  <c r="AA419" i="1"/>
  <c r="AA562" i="1" s="1"/>
  <c r="AB419" i="1"/>
  <c r="AB562" i="1" s="1"/>
  <c r="B117" i="9" s="1"/>
  <c r="S419" i="1"/>
  <c r="S562" i="1" s="1"/>
  <c r="C113" i="9" s="1"/>
  <c r="AN419" i="1"/>
  <c r="AN562" i="1" s="1"/>
  <c r="B123" i="9" s="1"/>
  <c r="AK419" i="1"/>
  <c r="AK562" i="1" s="1"/>
  <c r="C121" i="9" s="1"/>
  <c r="AC419" i="1"/>
  <c r="AC562" i="1" s="1"/>
  <c r="C117" i="9" s="1"/>
  <c r="AJ419" i="1"/>
  <c r="AJ562" i="1" s="1"/>
  <c r="B121" i="9" s="1"/>
  <c r="U419" i="1"/>
  <c r="U562" i="1" s="1"/>
  <c r="C114" i="9" s="1"/>
  <c r="O419" i="1"/>
  <c r="O562" i="1" s="1"/>
  <c r="C111" i="9" s="1"/>
  <c r="G419" i="1"/>
  <c r="G562" i="1" s="1"/>
  <c r="C107" i="9" s="1"/>
  <c r="P419" i="1"/>
  <c r="P562" i="1" s="1"/>
  <c r="B112" i="9" s="1"/>
  <c r="W419" i="1"/>
  <c r="W562" i="1" s="1"/>
  <c r="C115" i="9" s="1"/>
  <c r="AI419" i="1"/>
  <c r="AI562" i="1" s="1"/>
  <c r="C120" i="9" s="1"/>
  <c r="AG419" i="1"/>
  <c r="AG562" i="1" s="1"/>
  <c r="C119" i="9" s="1"/>
  <c r="M419" i="1"/>
  <c r="M562" i="1" s="1"/>
  <c r="C110" i="9" s="1"/>
  <c r="AO419" i="1"/>
  <c r="AO562" i="1" s="1"/>
  <c r="C123" i="9" s="1"/>
  <c r="I419" i="1"/>
  <c r="I562" i="1" s="1"/>
  <c r="C108" i="9" s="1"/>
  <c r="Y419" i="1"/>
  <c r="Y562" i="1" s="1"/>
  <c r="C116" i="9" s="1"/>
  <c r="E419" i="1"/>
  <c r="E562" i="1" s="1"/>
  <c r="C105" i="9" s="1"/>
  <c r="T419" i="1"/>
  <c r="T562" i="1" s="1"/>
  <c r="B114" i="9" s="1"/>
  <c r="AM419" i="1"/>
  <c r="AM562" i="1" s="1"/>
  <c r="C122" i="9" s="1"/>
  <c r="AE419" i="1"/>
  <c r="AE562" i="1" s="1"/>
  <c r="C118" i="9" s="1"/>
  <c r="Q419" i="1"/>
  <c r="Q562" i="1" s="1"/>
  <c r="C112" i="9" s="1"/>
  <c r="X419" i="1"/>
  <c r="X562" i="1" s="1"/>
  <c r="B116" i="9" s="1"/>
  <c r="K419" i="1"/>
  <c r="K562" i="1" s="1"/>
  <c r="C109" i="9" s="1"/>
  <c r="I70" i="8" l="1"/>
  <c r="B125" i="9"/>
  <c r="C125" i="9"/>
  <c r="D562" i="1"/>
  <c r="B105" i="9" s="1"/>
  <c r="C106" i="9"/>
  <c r="R419" i="1"/>
  <c r="R562" i="1" s="1"/>
  <c r="B113" i="9" s="1"/>
  <c r="B106" i="9" s="1"/>
  <c r="Z419" i="1"/>
  <c r="Z562" i="1" s="1"/>
  <c r="AP367" i="1"/>
  <c r="O36" i="2"/>
  <c r="O33" i="2" s="1"/>
  <c r="O34" i="2" s="1"/>
  <c r="C104" i="9" l="1"/>
  <c r="D106" i="9" s="1"/>
  <c r="B104" i="9"/>
  <c r="AP390" i="1"/>
  <c r="P36" i="2"/>
  <c r="P33" i="2" s="1"/>
  <c r="P34" i="2" s="1"/>
  <c r="D125" i="9" l="1"/>
  <c r="D104" i="9"/>
  <c r="D109" i="9"/>
  <c r="D123" i="9"/>
  <c r="D110" i="9"/>
  <c r="D114" i="9"/>
  <c r="D112" i="9"/>
  <c r="D122" i="9"/>
  <c r="D119" i="9"/>
  <c r="D116" i="9"/>
  <c r="D120" i="9"/>
  <c r="D111" i="9"/>
  <c r="D113" i="9"/>
  <c r="D117" i="9"/>
  <c r="D107" i="9"/>
  <c r="D115" i="9"/>
  <c r="D118" i="9"/>
  <c r="D105" i="9"/>
  <c r="D121" i="9"/>
  <c r="D108" i="9"/>
  <c r="AP418" i="1"/>
  <c r="Q36" i="2"/>
  <c r="Q33" i="2" s="1"/>
  <c r="Q34" i="2" s="1"/>
  <c r="AP484" i="1" l="1"/>
  <c r="R36" i="2"/>
  <c r="R33" i="2" s="1"/>
  <c r="R34" i="2" s="1"/>
  <c r="AP419" i="1"/>
  <c r="AP561" i="1" l="1"/>
  <c r="C36" i="2" s="1"/>
  <c r="D36" i="2"/>
  <c r="D33" i="2" s="1"/>
  <c r="D34" i="2" l="1"/>
  <c r="C33" i="2"/>
  <c r="AP562" i="1"/>
  <c r="S36" i="2" l="1"/>
  <c r="S33" i="2"/>
  <c r="S34" i="2" s="1"/>
  <c r="C34" i="2"/>
  <c r="S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Lietotajs</author>
    <author>DinaB</author>
    <author>user</author>
    <author>Sandis</author>
    <author>Admin</author>
    <author>AijaK</author>
    <author>Gramatvede</author>
    <author>Skola</author>
    <author>Dators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Sākotnējais budžets</t>
        </r>
      </text>
    </comment>
    <comment ref="F8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sarunas (30 eur/Mēn) + internets (130 eru/mēn)</t>
        </r>
      </text>
    </comment>
    <comment ref="H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7 mWh* 7mēn * 59,06 eur/mWh=2893,94
</t>
        </r>
      </text>
    </comment>
    <comment ref="L10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Publisko stāvlaukumu apgaismojums,
Par ielu apgaismojumu maksājam no mērķdotācijām </t>
        </r>
      </text>
    </comment>
    <comment ref="H12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10,0 mWh* 7mēn * 59,06 eur/mWh=4130</t>
        </r>
      </text>
    </comment>
    <comment ref="F13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Mājas vizītēs nepieciešams internets telefonā, lai izrasktītu e-receptes
10eur/mēn*12 mēn =120 eur</t>
        </r>
      </text>
    </comment>
    <comment ref="H14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15.3 mWh* 7mēn * 59,06 eur/mWh=6325</t>
        </r>
      </text>
    </comment>
    <comment ref="F15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4,24 eur/mēn*2 bibl.*12mēn  =101,76</t>
        </r>
      </text>
    </comment>
    <comment ref="N18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21,67*21,05=456,15</t>
        </r>
      </text>
    </comment>
    <comment ref="H20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15,3 mWh* 7mēn * 59,06 eur/mWh=6325</t>
        </r>
      </text>
    </comment>
    <comment ref="N20" authorId="1" shapeId="0" xr:uid="{00000000-0006-0000-0000-00000B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2,66m3*12mēn*21,05=671,92</t>
        </r>
      </text>
    </comment>
    <comment ref="T20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Plāns 8 mēnešiem</t>
        </r>
      </text>
    </comment>
    <comment ref="H23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51 mWh* 7mēn * 59,06 eur/mWh=21080</t>
        </r>
      </text>
    </comment>
    <comment ref="N23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4,1*12*21,05=1035,66</t>
        </r>
      </text>
    </comment>
    <comment ref="T23" authorId="1" shapeId="0" xr:uid="{00000000-0006-0000-0000-00000F000000}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Plāns 5 mēnešiem</t>
        </r>
      </text>
    </comment>
    <comment ref="T25" authorId="2" shapeId="0" xr:uid="{00000000-0006-0000-0000-00001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6" authorId="2" shapeId="0" xr:uid="{00000000-0006-0000-0000-00001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7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186"/>
          </rPr>
          <t>Lietotajs: 2517*1,14=2869,38</t>
        </r>
      </text>
    </comment>
    <comment ref="AH37" authorId="2" shapeId="0" xr:uid="{00000000-0006-0000-0000-00001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AH47" authorId="3" shapeId="0" xr:uid="{00000000-0006-0000-0000-000014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t.sk.1200 grāmatas pie novada</t>
        </r>
      </text>
    </comment>
    <comment ref="AH48" authorId="3" shapeId="0" xr:uid="{00000000-0006-0000-0000-000015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t.sk.590 grāmatas pie novada</t>
        </r>
      </text>
    </comment>
    <comment ref="T49" authorId="3" shapeId="0" xr:uid="{00000000-0006-0000-0000-000016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no 48 uz 58</t>
        </r>
      </text>
    </comment>
    <comment ref="T51" authorId="2" shapeId="0" xr:uid="{00000000-0006-0000-0000-000017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52" authorId="2" shapeId="0" xr:uid="{00000000-0006-0000-0000-000018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55" authorId="3" shapeId="0" xr:uid="{00000000-0006-0000-0000-000019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8 mēnešiem</t>
        </r>
      </text>
    </comment>
    <comment ref="N57" authorId="2" shapeId="0" xr:uid="{00000000-0006-0000-0000-00001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42 klienti x 12 mēneši</t>
        </r>
      </text>
    </comment>
    <comment ref="T57" authorId="3" shapeId="0" xr:uid="{00000000-0006-0000-0000-00001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42 klientix2.45x365</t>
        </r>
      </text>
    </comment>
    <comment ref="AD57" authorId="3" shapeId="0" xr:uid="{00000000-0006-0000-0000-00001C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</t>
        </r>
      </text>
    </comment>
    <comment ref="AD60" authorId="3" shapeId="0" xr:uid="{00000000-0006-0000-0000-00001D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lifta,klientu pacēlāja remonti, apkope</t>
        </r>
      </text>
    </comment>
    <comment ref="AD71" authorId="1" shapeId="0" xr:uid="{00000000-0006-0000-0000-00001E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1000,-EUR</t>
        </r>
      </text>
    </comment>
    <comment ref="AF71" authorId="1" shapeId="0" xr:uid="{00000000-0006-0000-0000-00001F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600,-EUR</t>
        </r>
      </text>
    </comment>
    <comment ref="AB77" authorId="1" shapeId="0" xr:uid="{00000000-0006-0000-0000-000020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Dienas nauda skolēnu dziesmu un deju svētki</t>
        </r>
      </text>
    </comment>
    <comment ref="AD77" authorId="1" shapeId="0" xr:uid="{00000000-0006-0000-0000-000021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Iekārtas apkalpošana un Tehn.pal.sniegšana pēc TN renovācijas uzstādītājai skaņas, gaismas aparatūrai 500,-EUR Pasākumu organizēšanai 700,-EUR</t>
        </r>
      </text>
    </comment>
    <comment ref="AF77" authorId="1" shapeId="0" xr:uid="{00000000-0006-0000-0000-00002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Galdi TN skatītāju zālē 1500,-EUR</t>
        </r>
      </text>
    </comment>
    <comment ref="T82" authorId="2" shapeId="0" xr:uid="{00000000-0006-0000-0000-00002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83" authorId="2" shapeId="0" xr:uid="{00000000-0006-0000-0000-00002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D87" authorId="2" shapeId="0" xr:uid="{00000000-0006-0000-0000-00002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plāns bija 1/2 gadam, šogad plāno visu gadu, t.sk. atlīdzības</t>
        </r>
      </text>
    </comment>
    <comment ref="G97" authorId="4" shapeId="0" xr:uid="{00000000-0006-0000-0000-000026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S97" authorId="5" shapeId="0" xr:uid="{00000000-0006-0000-0000-000027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Pagasta patapinātie auto, busa degvielas daļa pagastam
</t>
        </r>
      </text>
    </comment>
    <comment ref="AE97" authorId="4" shapeId="0" xr:uid="{00000000-0006-0000-0000-000028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e-paraksts, prese, banka, signalizācija, zemes lietas, paklāji, OVP</t>
        </r>
      </text>
    </comment>
    <comment ref="AG97" authorId="4" shapeId="0" xr:uid="{00000000-0006-0000-0000-000029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Kanceleja, inventārs, saimniecības preces, utml.</t>
        </r>
      </text>
    </comment>
    <comment ref="S98" authorId="5" shapeId="0" xr:uid="{00000000-0006-0000-0000-00002A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Bāriņtiesas patapinājums</t>
        </r>
      </text>
    </comment>
    <comment ref="G99" authorId="5" shapeId="0" xr:uid="{00000000-0006-0000-0000-00002B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IUN darba telefons</t>
        </r>
      </text>
    </comment>
    <comment ref="I99" authorId="5" shapeId="0" xr:uid="{00000000-0006-0000-0000-00002C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un tukšie, t.sk. ar 01.2021. atbrīvotie dzīvokļi.</t>
        </r>
      </text>
    </comment>
    <comment ref="K99" authorId="5" shapeId="0" xr:uid="{00000000-0006-0000-0000-00002D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dzīvokļi, kapi.
Ja noņemam statusu Dzelzavas soc dzīvoklim, plānu var samazināt.</t>
        </r>
      </text>
    </comment>
    <comment ref="M99" authorId="5" shapeId="0" xr:uid="{00000000-0006-0000-0000-00002E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Aizpurves katlu māja, sociālie dzīvokļi. Atbilstoši faktam.</t>
        </r>
      </text>
    </comment>
    <comment ref="AE99" authorId="4" shapeId="0" xr:uid="{00000000-0006-0000-0000-00002F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Dārza tehnikas remonts, dzīvokļu apsaimniekošana, auto remonts, ToiToi noma, apdrošināšana, latvāņu apkarošana, ucc.</t>
        </r>
      </text>
    </comment>
    <comment ref="AG99" authorId="4" shapeId="0" xr:uid="{00000000-0006-0000-0000-000030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materiāli, inventārs, smērvielas, detaļas, u.c.</t>
        </r>
      </text>
    </comment>
    <comment ref="AG100" authorId="4" shapeId="0" xr:uid="{00000000-0006-0000-0000-000031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Apstiprinātā pašvaldības mērķdotācijas daļa no 15189 EUR</t>
        </r>
      </text>
    </comment>
    <comment ref="AG101" authorId="4" shapeId="0" xr:uid="{00000000-0006-0000-0000-000032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Piešķirtā valsts mērķdotācijas daļa no 24375 EUR</t>
        </r>
      </text>
    </comment>
    <comment ref="K104" authorId="5" shapeId="0" xr:uid="{00000000-0006-0000-0000-000033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2020.g. bija kļūdains plāns. Ievērtēta arī kultūras dīkstāve, t.i. fakts, ka ēku uz laiku neizmanto.</t>
        </r>
      </text>
    </comment>
    <comment ref="M104" authorId="4" shapeId="0" xr:uid="{00000000-0006-0000-0000-000034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Ievērtēta dīkstāve. Ietilpst Jauniešu centrs.</t>
        </r>
      </text>
    </comment>
    <comment ref="S104" authorId="5" shapeId="0" xr:uid="{00000000-0006-0000-0000-000035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kolektīvu braucieni</t>
        </r>
      </text>
    </comment>
    <comment ref="AE104" authorId="4" shapeId="0" xr:uid="{00000000-0006-0000-0000-000036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 Saimnieciskie darbi (krēslu tīrīšana, paklāju noma, signalizācija, u.c.)</t>
        </r>
      </text>
    </comment>
    <comment ref="AG104" authorId="4" shapeId="0" xr:uid="{00000000-0006-0000-0000-000037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darbi, t.sk. fasādes un atbalstsienas remonts</t>
        </r>
      </text>
    </comment>
    <comment ref="Q105" authorId="4" shapeId="0" xr:uid="{00000000-0006-0000-0000-000038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muzejs</t>
        </r>
      </text>
    </comment>
    <comment ref="AE105" authorId="4" shapeId="0" xr:uid="{00000000-0006-0000-0000-000039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</t>
        </r>
      </text>
    </comment>
    <comment ref="G106" authorId="4" shapeId="0" xr:uid="{00000000-0006-0000-0000-00003A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240, telefons</t>
        </r>
      </text>
    </comment>
    <comment ref="S106" authorId="5" shapeId="0" xr:uid="{00000000-0006-0000-0000-00003B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busa degvielas daļa</t>
        </r>
      </text>
    </comment>
    <comment ref="AE106" authorId="4" shapeId="0" xr:uid="{00000000-0006-0000-0000-00003C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e-klase, paklāji, OVP, ikdienišķie uzturēšanas un pedagoģiskie pakalpojumi, UG noma, signalizācija, kursi, mērījumi, u.c.</t>
        </r>
      </text>
    </comment>
    <comment ref="AG106" authorId="4" shapeId="0" xr:uid="{00000000-0006-0000-0000-00003D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inventārs, uzturēšanas remontmateriāli, u.c.</t>
        </r>
      </text>
    </comment>
    <comment ref="G109" authorId="4" shapeId="0" xr:uid="{00000000-0006-0000-0000-00003E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I109" authorId="4" shapeId="0" xr:uid="{00000000-0006-0000-0000-00003F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Ēka pieslēgta ciema centrālajam siltumtīklas 08.2020.</t>
        </r>
      </text>
    </comment>
    <comment ref="S109" authorId="5" shapeId="0" xr:uid="{00000000-0006-0000-0000-000040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Direktores un deju skolotājas patapinājums</t>
        </r>
      </text>
    </comment>
    <comment ref="AE109" authorId="4" shapeId="0" xr:uid="{00000000-0006-0000-0000-000041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!! Akreditācija !!, e-klase, IT uzturēšana, serveri, digitālo māc.līdz. Abonēšana, OVP 13 darbiniekiem</t>
        </r>
      </text>
    </comment>
    <comment ref="AG109" authorId="4" shapeId="0" xr:uid="{00000000-0006-0000-0000-000042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inventārs (statīvu plāksnes, statīvi, krēsli, u.c.), saimnieciskie materiāli, kanceleja, medikamenti, jaunā standrta grāmatas, apbalvojamās grāmatas, u.c.</t>
        </r>
      </text>
    </comment>
    <comment ref="AI109" authorId="4" shapeId="0" xr:uid="{00000000-0006-0000-0000-000043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literatūra, prese, albumi
</t>
        </r>
      </text>
    </comment>
    <comment ref="T111" authorId="2" shapeId="0" xr:uid="{00000000-0006-0000-0000-00004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12" authorId="2" shapeId="0" xr:uid="{00000000-0006-0000-0000-00004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B113" authorId="2" shapeId="0" xr:uid="{00000000-0006-0000-0000-00004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G113" authorId="5" shapeId="0" xr:uid="{00000000-0006-0000-0000-000047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telefons 18/mēn, LMT rūteris 30/mēn</t>
        </r>
      </text>
    </comment>
    <comment ref="K113" authorId="4" shapeId="0" xr:uid="{00000000-0006-0000-0000-000048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Atbilstoši faktiskajam ūdens patēriņam iestādē.</t>
        </r>
      </text>
    </comment>
    <comment ref="N113" authorId="2" shapeId="0" xr:uid="{00000000-0006-0000-0000-000049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33 klienti X 12 mēn.</t>
        </r>
      </text>
    </comment>
    <comment ref="Q113" authorId="5" shapeId="0" xr:uid="{00000000-0006-0000-0000-00004A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Ir malka, pavasarī būs jāpiepērk, bet patēriņš ir samazinājies</t>
        </r>
      </text>
    </comment>
    <comment ref="S113" authorId="5" shapeId="0" xr:uid="{00000000-0006-0000-0000-00004B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Pansionāta buss un vadītājas patapinājums</t>
        </r>
      </text>
    </comment>
    <comment ref="U113" authorId="4" shapeId="0" xr:uid="{00000000-0006-0000-0000-00004C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27 klienti</t>
        </r>
      </text>
    </comment>
    <comment ref="AG113" authorId="6" shapeId="0" xr:uid="{00000000-0006-0000-0000-00004D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Klāt nāk:
   - darbinieku apģērbs
   - palielinājums medikamentiem
   - palielinājums higēnas precēm</t>
        </r>
      </text>
    </comment>
    <comment ref="W117" authorId="4" shapeId="0" xr:uid="{00000000-0006-0000-0000-00004E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samazinājums C19 dēļ
</t>
        </r>
      </text>
    </comment>
    <comment ref="E121" authorId="2" shapeId="0" xr:uid="{00000000-0006-0000-0000-00004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334624pedagogu algas
97807 tehnisko darbinieku algas</t>
        </r>
      </text>
    </comment>
    <comment ref="S127" authorId="5" shapeId="0" xr:uid="{00000000-0006-0000-0000-000050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Sociālās darbinieces patapinājums</t>
        </r>
      </text>
    </comment>
    <comment ref="J129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142x1.20= 170.40, kanaliz. 142x1.43=203.06</t>
        </r>
      </text>
    </comment>
    <comment ref="S134" authorId="0" shapeId="0" xr:uid="{00000000-0006-0000-0000-000052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</t>
        </r>
      </text>
    </comment>
    <comment ref="J135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8m3x1.20=9.60; kanaliz. 8m3x1.43=11.44</t>
        </r>
      </text>
    </comment>
    <comment ref="AH135" authorId="0" shapeId="0" xr:uid="{00000000-0006-0000-0000-000054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žurnāli parvaldē 1100, bibliot.fonds 2478 euro (novadā)</t>
        </r>
      </text>
    </comment>
    <comment ref="AI135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1117eur pārvaldē laikraksti un žurnāli
2151eur pamatlīdz. bibl.fondi (novadā)</t>
        </r>
      </text>
    </comment>
    <comment ref="H136" authorId="0" shapeId="0" xr:uid="{00000000-0006-0000-0000-000056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55.05mwhx 53.34=2936</t>
        </r>
      </text>
    </comment>
    <comment ref="J136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ūdens- 42m3x1.20=50.40; kanaliz.-42x1.43=60.06</t>
        </r>
      </text>
    </comment>
    <comment ref="P136" authorId="0" shapeId="0" xr:uid="{00000000-0006-0000-0000-000058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tautas nama apkurei 15m3x32=480</t>
        </r>
      </text>
    </comment>
    <comment ref="Q136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TN apkurei 15m³x32=480</t>
        </r>
      </text>
    </comment>
    <comment ref="S136" authorId="0" shapeId="0" xr:uid="{00000000-0006-0000-0000-00005A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 gada sākumā nebūs braucienu</t>
        </r>
      </text>
    </comment>
    <comment ref="P137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 Jauniešu telpas Jāņuklna apkurei 15m3x32= 480, granulu iegāde ēkas Vesetas 4 apkurei 15.5 tx187.55=2907.02</t>
        </r>
      </text>
    </comment>
    <comment ref="H138" authorId="0" shapeId="0" xr:uid="{00000000-0006-0000-0000-00005C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139MWHx 56.1=7841</t>
        </r>
      </text>
    </comment>
    <comment ref="J138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kanaliz.-744m3x0.31=230.64;     ūdens-744m3x0.28=228.48
</t>
        </r>
      </text>
    </comment>
    <comment ref="S138" authorId="0" shapeId="0" xr:uid="{00000000-0006-0000-0000-00005E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 ārpus iestādes (vešana uz baseinu, mācību ekskursijas)</t>
        </r>
      </text>
    </comment>
    <comment ref="T138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11849bērnu dienas x 1.32=15641</t>
        </r>
      </text>
    </comment>
    <comment ref="AF138" authorId="0" shapeId="0" xr:uid="{00000000-0006-0000-0000-000060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t.sk.gultas veļas nomaiņa par 564euro, bērnu gultiņi, madracīšu nomaiņa -2200euro</t>
        </r>
      </text>
    </comment>
    <comment ref="H140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332MWHx53.34=17709
</t>
        </r>
      </text>
    </comment>
    <comment ref="J140" authorId="0" shapeId="0" xr:uid="{00000000-0006-0000-0000-000062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864m3x1.20=1036.80' kanaliz. 864m3x1.43=1235.52
</t>
        </r>
      </text>
    </comment>
    <comment ref="T140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9999 b/d gadā x0.72=7199.28</t>
        </r>
      </text>
    </comment>
    <comment ref="T141" authorId="2" shapeId="0" xr:uid="{00000000-0006-0000-0000-00006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42" authorId="2" shapeId="0" xr:uid="{00000000-0006-0000-0000-00006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45" authorId="0" shapeId="0" xr:uid="{00000000-0006-0000-0000-000066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plānoti atbilstoši ieņēmumiem: skolas darbin.-1650, PII darbin.-1100</t>
        </r>
      </text>
    </comment>
    <comment ref="S146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46" authorId="0" shapeId="0" xr:uid="{00000000-0006-0000-0000-000068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aitobusu apkopēm, remonta, apdrošināšanai,  tehn.apskatēm 16200, materiālu iegādei 300euro
</t>
        </r>
      </text>
    </comment>
    <comment ref="W146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47" authorId="0" shapeId="0" xr:uid="{00000000-0006-0000-0000-00006A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8000 euro ar biļetēm, 1800 euro ceļa komp.ja ved ar transportu</t>
        </r>
      </text>
    </comment>
    <comment ref="W147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tiks izmantots mazāk sabiedriskais transports</t>
        </r>
      </text>
    </comment>
    <comment ref="J148" authorId="0" shapeId="0" xr:uid="{00000000-0006-0000-0000-00006C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ūdens- 7m3x1.20=8.40; kanaliz.-7m3x1.43=10.01</t>
        </r>
      </text>
    </comment>
    <comment ref="J150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 kanaliz.-8m3x1.43=11.44</t>
        </r>
      </text>
    </comment>
    <comment ref="P150" authorId="0" shapeId="0" xr:uid="{00000000-0006-0000-0000-00006E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kokskaidu granulas  ēkas vesetas 4 apkurei  6t x187.55=1125.30</t>
        </r>
      </text>
    </comment>
    <comment ref="P151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kutin.skaida 480m3 x12.584=6040.32</t>
        </r>
      </text>
    </comment>
    <comment ref="R152" authorId="0" shapeId="0" xr:uid="{00000000-0006-0000-0000-000070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zāles pļaušanai, krūmgriezim, sniega un lapu pūtējam</t>
        </r>
      </text>
    </comment>
    <comment ref="AD152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2020.g.Latvijas Ziedu svētku pasākumu Kalsnavas pagastā</t>
        </r>
      </text>
    </comment>
    <comment ref="AF152" authorId="0" shapeId="0" xr:uid="{00000000-0006-0000-0000-000072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Latvijas ziedu svētku pasākumu 2020.g. jūlijā Kalsnavas pagastā</t>
        </r>
      </text>
    </comment>
    <comment ref="H153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I153" authorId="0" shapeId="0" xr:uid="{00000000-0006-0000-0000-000074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AD153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dzīvojamā fonada remonts, labiekārtošana- summa atbilst. Plānotiem ieņemumiem no īres naudas peļņas daļas</t>
        </r>
      </text>
    </comment>
    <comment ref="R154" authorId="0" shapeId="0" xr:uid="{00000000-0006-0000-0000-000076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automašina Citroen</t>
        </r>
      </text>
    </comment>
    <comment ref="L155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2166kwx 0.165=357.39</t>
        </r>
      </text>
    </comment>
    <comment ref="M155" authorId="0" shapeId="0" xr:uid="{00000000-0006-0000-0000-000078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uz nakti tiks izslēgts apgaismojums</t>
        </r>
      </text>
    </comment>
    <comment ref="AF157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grants, šķembu iegāde ceļu remontam</t>
        </r>
      </text>
    </comment>
    <comment ref="AD159" authorId="0" shapeId="0" xr:uid="{00000000-0006-0000-0000-00007A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rekut.izgāztuves Siliņi, testēšanas pārskata sagatavošana, pļaušanas pakalpojumi</t>
        </r>
      </text>
    </comment>
    <comment ref="AE159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rekult.izgāztuves Siliņi pļaušanas pakalpojumi</t>
        </r>
      </text>
    </comment>
    <comment ref="AM163" authorId="0" shapeId="0" xr:uid="{00000000-0006-0000-0000-00007C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Droši vien, vajadzēs vairāk, jo GMI paaugstināts</t>
        </r>
      </text>
    </comment>
    <comment ref="J167" authorId="2" shapeId="0" xr:uid="{00000000-0006-0000-0000-00007D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Bija sadalīts pa vairākām struktūrvienībām</t>
        </r>
      </text>
    </comment>
    <comment ref="L167" authorId="2" shapeId="0" xr:uid="{00000000-0006-0000-0000-00007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Vairāks iestādes</t>
        </r>
      </text>
    </comment>
    <comment ref="N167" authorId="2" shapeId="0" xr:uid="{00000000-0006-0000-0000-00007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vasaras laikā peldvietas konteiners</t>
        </r>
      </text>
    </comment>
    <comment ref="P167" authorId="2" shapeId="0" xr:uid="{00000000-0006-0000-0000-00008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PII, bibliotēka, FVP, jauniešu centrs
Granulas</t>
        </r>
      </text>
    </comment>
    <comment ref="AF168" authorId="2" shapeId="0" xr:uid="{00000000-0006-0000-0000-00008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sniega lāpstas, lāpstas, slotas, pļaujmašīna, urbjamašīna
 500 granulu glabāšanas nojumes iežogošana</t>
        </r>
      </text>
    </comment>
    <comment ref="R173" authorId="2" shapeId="0" xr:uid="{00000000-0006-0000-0000-00008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mājas vizītēm</t>
        </r>
      </text>
    </comment>
    <comment ref="AF173" authorId="2" shapeId="0" xr:uid="{00000000-0006-0000-0000-00008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400 Lielākas telpas, vajag vairāk dezinfekcijas līdzekļu un saimniecības preču
550 medikamenti
50 kancelejas preces</t>
        </r>
      </text>
    </comment>
    <comment ref="AH174" authorId="2" shapeId="0" xr:uid="{00000000-0006-0000-0000-00008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688 iedz. x 1,95</t>
        </r>
      </text>
    </comment>
    <comment ref="AF175" authorId="2" shapeId="0" xr:uid="{00000000-0006-0000-0000-00008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1000 pasākumiem
600 mēbeļu atjaunošana rokdarbu pulciņa
</t>
        </r>
      </text>
    </comment>
    <comment ref="AF178" authorId="2" shapeId="0" xr:uid="{00000000-0006-0000-0000-00008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mazāk pakalpojumos</t>
        </r>
      </text>
    </comment>
    <comment ref="T179" authorId="2" shapeId="0" xr:uid="{00000000-0006-0000-0000-000087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80" authorId="2" shapeId="0" xr:uid="{00000000-0006-0000-0000-000088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F183" authorId="2" shapeId="0" xr:uid="{00000000-0006-0000-0000-000089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300 Kancelejas preces, saimniecības preces, galda spēles
500 dators</t>
        </r>
      </text>
    </comment>
    <comment ref="H194" authorId="2" shapeId="0" xr:uid="{00000000-0006-0000-0000-00008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Pakalp.no AS Mad.silt.3 mēnvisās iest.</t>
        </r>
      </text>
    </comment>
    <comment ref="L194" authorId="2" shapeId="0" xr:uid="{00000000-0006-0000-0000-00008B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Nebūs Aiviekstes k/m</t>
        </r>
      </text>
    </comment>
    <comment ref="P194" authorId="2" shapeId="0" xr:uid="{00000000-0006-0000-0000-00008C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kurin.visās iest.4 mēn.</t>
        </r>
      </text>
    </comment>
    <comment ref="R194" authorId="2" shapeId="0" xr:uid="{00000000-0006-0000-0000-00008D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daudz braucienu uz Madonas NP dok.nog.utl.</t>
        </r>
      </text>
    </comment>
    <comment ref="AH200" authorId="2" shapeId="0" xr:uid="{00000000-0006-0000-0000-00008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Žurnāli 430 , grāmatas 1654 eiro</t>
        </r>
      </text>
    </comment>
    <comment ref="J203" authorId="2" shapeId="0" xr:uid="{00000000-0006-0000-0000-00008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sk.paliel.pret 2018.</t>
        </r>
      </text>
    </comment>
    <comment ref="R203" authorId="2" shapeId="0" xr:uid="{00000000-0006-0000-0000-00009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degviela bērnu vešanai no Mārcienas</t>
        </r>
      </text>
    </comment>
    <comment ref="AD203" authorId="2" shapeId="0" xr:uid="{00000000-0006-0000-0000-00009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kāpņu telpas rem.~1000 eiro
</t>
        </r>
      </text>
    </comment>
    <comment ref="AF203" authorId="2" shapeId="0" xr:uid="{00000000-0006-0000-0000-00009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sk.pal.-mazg.,higiēnas, matraču ieg.,veļa utl.</t>
        </r>
      </text>
    </comment>
    <comment ref="I205" authorId="6" shapeId="0" xr:uid="{00000000-0006-0000-0000-000093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39495 - iepriekš iesūtītā summa
42065 - Apkures izmaksu pieaugums
37065 - nolēma vadība</t>
        </r>
      </text>
    </comment>
    <comment ref="AD205" authorId="2" shapeId="0" xr:uid="{00000000-0006-0000-0000-00009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"mini"kosmētiskie rem.iekštelpās
2000 EUR skolas akreditācija</t>
        </r>
      </text>
    </comment>
    <comment ref="AF205" authorId="2" shapeId="0" xr:uid="{00000000-0006-0000-0000-00009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kosm.rem.materiālu ieg., inventāra ieg.klasei</t>
        </r>
      </text>
    </comment>
    <comment ref="T206" authorId="2" shapeId="0" xr:uid="{00000000-0006-0000-0000-00009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07" authorId="2" shapeId="0" xr:uid="{00000000-0006-0000-0000-000097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09" authorId="2" shapeId="0" xr:uid="{00000000-0006-0000-0000-000098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Lifta darb.elektr.~1500 eiro</t>
        </r>
      </text>
    </comment>
    <comment ref="N209" authorId="2" shapeId="0" xr:uid="{00000000-0006-0000-0000-000099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30 cilvēki x 12 mēn.</t>
        </r>
      </text>
    </comment>
    <comment ref="T209" authorId="2" shapeId="0" xr:uid="{00000000-0006-0000-0000-00009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2.90 eiro/d.</t>
        </r>
      </text>
    </comment>
    <comment ref="AF209" authorId="2" shapeId="0" xr:uid="{00000000-0006-0000-0000-00009B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medik.patēr.2019g.11153 eiro,pretizgul.matraču ieg.</t>
        </r>
      </text>
    </comment>
    <comment ref="J213" authorId="2" shapeId="0" xr:uid="{00000000-0006-0000-0000-00009C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 būs kanaliz.??
</t>
        </r>
      </text>
    </comment>
    <comment ref="P213" authorId="2" shapeId="0" xr:uid="{00000000-0006-0000-0000-00009D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iepirk.cena mazāka</t>
        </r>
      </text>
    </comment>
    <comment ref="AD228" authorId="2" shapeId="0" xr:uid="{00000000-0006-0000-0000-00009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jaunaudžu kopšana
</t>
        </r>
      </text>
    </comment>
    <comment ref="AH229" authorId="2" shapeId="0" xr:uid="{00000000-0006-0000-0000-00009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R230" authorId="7" shapeId="0" xr:uid="{00000000-0006-0000-0000-0000A0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Vadītājs pārvalda arī Vestienu</t>
        </r>
      </text>
    </comment>
    <comment ref="F232" authorId="7" shapeId="0" xr:uid="{00000000-0006-0000-0000-0000A1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interneta pieslēgums telefonam ĪUN vad.</t>
        </r>
      </text>
    </comment>
    <comment ref="P232" authorId="7" shapeId="0" xr:uid="{00000000-0006-0000-0000-0000A2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 tukšajiem dzīvokļiem Ozolu 12-3,7</t>
        </r>
      </text>
    </comment>
    <comment ref="AF232" authorId="7" shapeId="0" xr:uid="{00000000-0006-0000-0000-0000A3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tehnikas remontmateriāli, instrumenti</t>
        </r>
      </text>
    </comment>
    <comment ref="AF236" authorId="7" shapeId="0" xr:uid="{00000000-0006-0000-0000-0000A4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dators bibliotekārei, žalūzijas interneta punktam</t>
        </r>
      </text>
    </comment>
    <comment ref="F241" authorId="7" shapeId="0" xr:uid="{00000000-0006-0000-0000-0000A5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Lattelekom ekonomiskā paka 204 euro gadā</t>
        </r>
      </text>
    </comment>
    <comment ref="T241" authorId="7" shapeId="0" xr:uid="{00000000-0006-0000-0000-0000A6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241" authorId="7" shapeId="0" xr:uid="{00000000-0006-0000-0000-0000A7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mācību līdzekļiem</t>
        </r>
      </text>
    </comment>
    <comment ref="T242" authorId="7" shapeId="0" xr:uid="{00000000-0006-0000-0000-0000A8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242" authorId="7" shapeId="0" xr:uid="{00000000-0006-0000-0000-0000A9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māc.līdzekļiem
inventārs  5480 (mēbeles klasēm)</t>
        </r>
      </text>
    </comment>
    <comment ref="T244" authorId="2" shapeId="0" xr:uid="{00000000-0006-0000-0000-0000A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45" authorId="2" shapeId="0" xr:uid="{00000000-0006-0000-0000-0000AB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R248" authorId="7" shapeId="0" xr:uid="{00000000-0006-0000-0000-0000AC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vienam reisam sniedz pakalpojumu</t>
        </r>
      </text>
    </comment>
    <comment ref="V248" authorId="7" shapeId="0" xr:uid="{00000000-0006-0000-0000-0000AD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noslēgts līgums par viena reisa pārvadājumu 01.-05.</t>
        </r>
      </text>
    </comment>
    <comment ref="AD260" authorId="7" shapeId="0" xr:uid="{00000000-0006-0000-0000-0000AE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dienesta viesnīcas 900</t>
        </r>
      </text>
    </comment>
    <comment ref="AF260" authorId="7" shapeId="0" xr:uid="{00000000-0006-0000-0000-0000AF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inventārs 2195</t>
        </r>
      </text>
    </comment>
    <comment ref="AH261" authorId="2" shapeId="0" xr:uid="{00000000-0006-0000-0000-0000B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262" authorId="1" shapeId="0" xr:uid="{00000000-0006-0000-0000-0000B1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sakaru pakalp. tiek grāmatota marku iegāde</t>
        </r>
      </text>
    </comment>
    <comment ref="L262" authorId="1" shapeId="0" xr:uid="{00000000-0006-0000-0000-0000B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patēriņa. Palielinājums saistīts ar doktorāta telpām  </t>
        </r>
      </text>
    </comment>
    <comment ref="M262" authorId="1" shapeId="0" xr:uid="{00000000-0006-0000-0000-0000B3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Par palielinājuma daļu (2200 EUR) palielinās ari ieņēmumi</t>
        </r>
      </text>
    </comment>
    <comment ref="S262" authorId="1" shapeId="0" xr:uid="{00000000-0006-0000-0000-0000B4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mēn vid. 25 litri x 1,07 EURx 11 mēn</t>
        </r>
      </text>
    </comment>
    <comment ref="AD262" authorId="1" shapeId="0" xr:uid="{00000000-0006-0000-0000-0000B5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Busiņa remonts 2500 EUR</t>
        </r>
      </text>
    </comment>
    <comment ref="AO262" authorId="6" shapeId="0" xr:uid="{00000000-0006-0000-0000-0000B6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64" authorId="1" shapeId="0" xr:uid="{00000000-0006-0000-0000-0000B7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104Mh x 67,63 EUR pēc 2018.g. sept.-dec.</t>
        </r>
      </text>
    </comment>
    <comment ref="I264" authorId="1" shapeId="0" xr:uid="{00000000-0006-0000-0000-0000B8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193Mh x 61,25</t>
        </r>
      </text>
    </comment>
    <comment ref="L264" authorId="1" shapeId="0" xr:uid="{00000000-0006-0000-0000-0000B9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maijs-septembris pansionāta karstam ūdenim 5700EUR</t>
        </r>
      </text>
    </comment>
    <comment ref="N264" authorId="2" shapeId="0" xr:uid="{00000000-0006-0000-0000-0000B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3EUR x 61iemītnieks x 12 mēneši</t>
        </r>
      </text>
    </comment>
    <comment ref="T264" authorId="1" shapeId="0" xr:uid="{00000000-0006-0000-0000-0000BB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2,35 dienā x 61 cilvēks x 365 dienas x 90%</t>
        </r>
      </text>
    </comment>
    <comment ref="U264" authorId="1" shapeId="0" xr:uid="{00000000-0006-0000-0000-0000B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2,30EUR dienā x 61x 365 dienas x 95%apmeklētība</t>
        </r>
      </text>
    </comment>
    <comment ref="AF264" authorId="1" shapeId="0" xr:uid="{00000000-0006-0000-0000-0000BD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1)2019.g. izpilde pamperu iegādei lielāka par plānoto
2)gultas veļas iegāde</t>
        </r>
      </text>
    </comment>
    <comment ref="N268" authorId="1" shapeId="0" xr:uid="{00000000-0006-0000-0000-0000BE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arī atkritumu noglab. poligonā</t>
        </r>
      </text>
    </comment>
    <comment ref="P268" authorId="1" shapeId="0" xr:uid="{00000000-0006-0000-0000-0000BF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120kub malkas aprīļa mēn
</t>
        </r>
      </text>
    </comment>
    <comment ref="AD268" authorId="1" shapeId="0" xr:uid="{00000000-0006-0000-0000-0000C0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teritorijas appļaušanai tiks vairāk ņemts pakalpojums </t>
        </r>
      </text>
    </comment>
    <comment ref="AO268" authorId="6" shapeId="0" xr:uid="{00000000-0006-0000-0000-0000C1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71" authorId="1" shapeId="0" xr:uid="{00000000-0006-0000-0000-0000C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118Mh x 67,63 EUR pēc 2018.g. sept.-dec.</t>
        </r>
      </text>
    </comment>
    <comment ref="L271" authorId="1" shapeId="0" xr:uid="{00000000-0006-0000-0000-0000C3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pieslēguma maksa ir 1224 EUR</t>
        </r>
      </text>
    </comment>
    <comment ref="AD276" authorId="1" shapeId="0" xr:uid="{00000000-0006-0000-0000-0000C4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ielikts 1x gadā seminārs/apmācība</t>
        </r>
      </text>
    </comment>
    <comment ref="AF276" authorId="1" shapeId="0" xr:uid="{00000000-0006-0000-0000-0000C5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pieprasījumā 275 EUR</t>
        </r>
      </text>
    </comment>
    <comment ref="H277" authorId="1" shapeId="0" xr:uid="{00000000-0006-0000-0000-0000C6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98Mh x 67,63 EUR pēc 2018.g. sept.-dec.</t>
        </r>
      </text>
    </comment>
    <comment ref="I277" authorId="1" shapeId="0" xr:uid="{00000000-0006-0000-0000-0000C7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180Mh x 61,25</t>
        </r>
      </text>
    </comment>
    <comment ref="L277" authorId="1" shapeId="0" xr:uid="{00000000-0006-0000-0000-0000C8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izpildes</t>
        </r>
      </text>
    </comment>
    <comment ref="AD279" authorId="1" shapeId="0" xr:uid="{00000000-0006-0000-0000-0000C9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kausu, medaļu apdrukai</t>
        </r>
      </text>
    </comment>
    <comment ref="R280" authorId="1" shapeId="0" xr:uid="{00000000-0006-0000-0000-0000CA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Bēnu aizvešanai uz Bārzaunes PII = 90l degv.mēnesī</t>
        </r>
      </text>
    </comment>
    <comment ref="V280" authorId="1" shapeId="0" xr:uid="{00000000-0006-0000-0000-0000CB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2019.g.izpildes</t>
        </r>
      </text>
    </comment>
    <comment ref="AF282" authorId="1" shapeId="0" xr:uid="{00000000-0006-0000-0000-0000C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pieprasījuma - ziedi jubilāriem un  saldumu paciņas vientuļiem pens.</t>
        </r>
      </text>
    </comment>
    <comment ref="I283" authorId="1" shapeId="0" xr:uid="{00000000-0006-0000-0000-0000CD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E283" authorId="0" shapeId="0" xr:uid="{00000000-0006-0000-0000-0000CE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dušas telpas remonts
starpsienu montāža</t>
        </r>
      </text>
    </comment>
    <comment ref="I284" authorId="1" shapeId="0" xr:uid="{00000000-0006-0000-0000-0000CF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H289" authorId="2" shapeId="0" xr:uid="{00000000-0006-0000-0000-0000D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500 periodika
846 bibliotēku fonds</t>
        </r>
      </text>
    </comment>
    <comment ref="B295" authorId="2" shapeId="0" xr:uid="{00000000-0006-0000-0000-0000D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AH306" authorId="2" shapeId="0" xr:uid="{00000000-0006-0000-0000-0000D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P307" authorId="8" shapeId="0" xr:uid="{00000000-0006-0000-0000-0000D3000000}">
      <text>
        <r>
          <rPr>
            <b/>
            <sz val="9"/>
            <color indexed="81"/>
            <rFont val="Tahoma"/>
            <family val="2"/>
            <charset val="186"/>
          </rPr>
          <t>Kurināmais - granulas, plānots pēc 2019. gada izpildes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07" authorId="8" shapeId="0" xr:uid="{00000000-0006-0000-0000-0000D4000000}">
      <text>
        <r>
          <rPr>
            <b/>
            <sz val="9"/>
            <color indexed="81"/>
            <rFont val="Tahoma"/>
            <family val="2"/>
            <charset val="186"/>
          </rPr>
          <t>2019.gada izpildes līmenī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07" authorId="8" shapeId="0" xr:uid="{00000000-0006-0000-0000-0000D5000000}">
      <text>
        <r>
          <rPr>
            <b/>
            <sz val="9"/>
            <color indexed="81"/>
            <rFont val="Tahoma"/>
            <family val="2"/>
            <charset val="186"/>
          </rPr>
          <t>t.sk. klānu vēstis 3560, apdrošināšana 554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307" authorId="8" shapeId="0" xr:uid="{00000000-0006-0000-0000-0000D6000000}">
      <text>
        <r>
          <rPr>
            <b/>
            <sz val="9"/>
            <color indexed="81"/>
            <rFont val="Tahoma"/>
            <family val="2"/>
            <charset val="186"/>
          </rPr>
          <t>t.sk. grīdas seguma nomaiņa, inventārs, videonovērošanas papildināšana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15" authorId="8" shapeId="0" xr:uid="{00000000-0006-0000-0000-0000D7000000}">
      <text>
        <r>
          <rPr>
            <b/>
            <sz val="9"/>
            <color indexed="81"/>
            <rFont val="Tahoma"/>
            <family val="2"/>
            <charset val="186"/>
          </rPr>
          <t>kosmētiskais remonts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315" authorId="8" shapeId="0" xr:uid="{00000000-0006-0000-0000-0000D8000000}">
      <text>
        <r>
          <rPr>
            <b/>
            <sz val="9"/>
            <color indexed="81"/>
            <rFont val="Tahoma"/>
            <family val="2"/>
            <charset val="186"/>
          </rPr>
          <t>materiāli kosmētiskajam remontam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16" authorId="8" shapeId="0" xr:uid="{00000000-0006-0000-0000-0000D9000000}">
      <text>
        <r>
          <rPr>
            <b/>
            <sz val="9"/>
            <color indexed="81"/>
            <rFont val="Tahoma"/>
            <family val="2"/>
            <charset val="186"/>
          </rPr>
          <t>remonti turpinās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316" authorId="8" shapeId="0" xr:uid="{00000000-0006-0000-0000-0000DA000000}">
      <text>
        <r>
          <rPr>
            <b/>
            <sz val="9"/>
            <color indexed="81"/>
            <rFont val="Tahoma"/>
            <family val="2"/>
            <charset val="186"/>
          </rPr>
          <t>kāpņu telpas remonts, ārdurvju nomaiņa u.c.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317" authorId="8" shapeId="0" xr:uid="{00000000-0006-0000-0000-0000DB000000}">
      <text>
        <r>
          <rPr>
            <b/>
            <sz val="9"/>
            <color indexed="81"/>
            <rFont val="Tahoma"/>
            <family val="2"/>
            <charset val="186"/>
          </rPr>
          <t>970 iedz.*1.95=1892
presei 400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19" authorId="8" shapeId="0" xr:uid="{00000000-0006-0000-0000-0000DC000000}">
      <text>
        <r>
          <rPr>
            <b/>
            <sz val="9"/>
            <color indexed="81"/>
            <rFont val="Tahoma"/>
            <family val="2"/>
            <charset val="186"/>
          </rPr>
          <t>ugunsaizsardzības pārklājums aizkariem..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323" authorId="8" shapeId="0" xr:uid="{00000000-0006-0000-0000-0000DD000000}">
      <text>
        <r>
          <rPr>
            <b/>
            <sz val="9"/>
            <color indexed="81"/>
            <rFont val="Tahoma"/>
            <family val="2"/>
            <charset val="186"/>
          </rPr>
          <t>preses izdevumi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T325" authorId="2" shapeId="0" xr:uid="{00000000-0006-0000-0000-0000D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326" authorId="2" shapeId="0" xr:uid="{00000000-0006-0000-0000-0000D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V330" authorId="8" shapeId="0" xr:uid="{00000000-0006-0000-0000-0000E0000000}">
      <text>
        <r>
          <rPr>
            <b/>
            <sz val="9"/>
            <color indexed="81"/>
            <rFont val="Tahoma"/>
            <family val="2"/>
            <charset val="186"/>
          </rPr>
          <t>riepas 600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338" authorId="1" shapeId="0" xr:uid="{00000000-0006-0000-0000-0000E1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cenu pieaugums</t>
        </r>
      </text>
    </comment>
    <comment ref="P345" authorId="1" shapeId="0" xr:uid="{00000000-0006-0000-0000-0000E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Uzstādīts granulu katls</t>
        </r>
      </text>
    </comment>
    <comment ref="U349" authorId="0" shapeId="0" xr:uid="{00000000-0006-0000-0000-0000E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Pieprasīts bija daudz vairāk</t>
        </r>
      </text>
    </comment>
    <comment ref="AE349" authorId="6" shapeId="0" xr:uid="{00000000-0006-0000-0000-0000E4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Pāgājušā gada līmenis
+klāt nāk OVP 350EUR</t>
        </r>
      </text>
    </comment>
    <comment ref="T353" authorId="2" shapeId="0" xr:uid="{00000000-0006-0000-0000-0000E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354" authorId="2" shapeId="0" xr:uid="{00000000-0006-0000-0000-0000E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367" authorId="2" shapeId="0" xr:uid="{00000000-0006-0000-0000-0000E7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368" authorId="1" shapeId="0" xr:uid="{00000000-0006-0000-0000-0000E8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Pieslēgts optiskais kabelis 270 *12=3240</t>
        </r>
      </text>
    </comment>
    <comment ref="S368" authorId="4" shapeId="0" xr:uid="{00000000-0006-0000-0000-0000E9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Ford Galaxy, Citroen Jumpy, lietvedes patapinājums</t>
        </r>
      </text>
    </comment>
    <comment ref="AE368" authorId="4" shapeId="0" xr:uid="{00000000-0006-0000-0000-0000EA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Signalizācija, serveri, Venden, paklāji, u.c. administrēšanas darbi.
Darbinieku OVP
Zemju uzmerīšana
obligātie elektro pretestības mērījumi, krāšņu remonts</t>
        </r>
      </text>
    </comment>
    <comment ref="AG368" authorId="4" shapeId="0" xr:uid="{00000000-0006-0000-0000-0000EB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Inventāra iegāde, kanceleja, sakaru tehnika, celtniecības materiāli, u.c. 
Pagastmājas 2.stāva remontdarbu iekonservēšana (remontmateriāli) līdz būvdarbu atsākšanai. 
Ieejas mezgla jumts pagastam.
Bērnudārza ēkas norobežošana iekļūšanai - bērnu drošība (saplāksnis, skrūves).
u.c.</t>
        </r>
      </text>
    </comment>
    <comment ref="F370" authorId="2" shapeId="0" xr:uid="{00000000-0006-0000-0000-0000EC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nebija ĪUN vadītājs</t>
        </r>
      </text>
    </comment>
    <comment ref="S370" authorId="4" shapeId="0" xr:uid="{00000000-0006-0000-0000-0000ED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VW Caravelle, MAN, KIOTI, dārza tehnika, u.c.
</t>
        </r>
      </text>
    </comment>
    <comment ref="AD370" authorId="2" shapeId="0" xr:uid="{00000000-0006-0000-0000-0000E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Pagastmājai statuss "Bīstama". Jāremontē.</t>
        </r>
      </text>
    </comment>
    <comment ref="AE370" authorId="4" shapeId="0" xr:uid="{00000000-0006-0000-0000-0000EF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Koku un parka kopšana (pakalpojums),
Dārza tehnikas remonts
Transportlīdzekļu remonts
Dīķa strūklakas remonts.
Mūra remonts jauniešu centra 
Kapu paplašināšanas projekts
Skursteņu tīrīšana
Biksēres centra asfalta remonts
u.c.</t>
        </r>
      </text>
    </comment>
    <comment ref="AG370" authorId="4" shapeId="0" xr:uid="{00000000-0006-0000-0000-0000F0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IUN remontmateriāli, smērvielas, u.c.
Jauniešu centra piebūves iegruvušā jumta remontmateriāli, sētas vārtu uzstādīšana, kāpņu uzstādīšana, vides pieejamība.
Kalnagravu palīgēkas tualetes remontmateriāli.
Estrādes dzelzs vārtu labošna 2 gab.
u.c.</t>
        </r>
      </text>
    </comment>
    <comment ref="P371" authorId="1" shapeId="0" xr:uid="{00000000-0006-0000-0000-0000F1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3632 bija gan amatu, gan muzeja ēka. Sadalījām katrai atsevišķi</t>
        </r>
      </text>
    </comment>
    <comment ref="AG373" authorId="4" shapeId="0" xr:uid="{00000000-0006-0000-0000-0000F2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Dzīvokļa durvis, Aizkuja ceļtekas grīdas remonts, Aizkuja akas tīrīšana</t>
        </r>
      </text>
    </comment>
    <comment ref="I374" authorId="4" shapeId="0" xr:uid="{00000000-0006-0000-0000-0000F3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Bijušās pasta telpas, nedzīvojamā telpa</t>
        </r>
      </text>
    </comment>
    <comment ref="J374" authorId="2" shapeId="0" xr:uid="{00000000-0006-0000-0000-0000F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Doma ielikt veļas mašīnu maznodrošināto vajadzībām</t>
        </r>
      </text>
    </comment>
    <comment ref="AF374" authorId="2" shapeId="0" xr:uid="{00000000-0006-0000-0000-0000F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iekārtas sociālajai masgāšanas telpai (gan veļai, gan dušas)</t>
        </r>
      </text>
    </comment>
    <comment ref="F375" authorId="2" shapeId="0" xr:uid="{00000000-0006-0000-0000-0000F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nebija izdevumu</t>
        </r>
      </text>
    </comment>
    <comment ref="AG376" authorId="4" shapeId="0" xr:uid="{00000000-0006-0000-0000-0000F7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Bojāto logu nomaiņa jauniešu centram</t>
        </r>
      </text>
    </comment>
    <comment ref="AF377" authorId="2" shapeId="0" xr:uid="{00000000-0006-0000-0000-0000F8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Elektrības un sanitārā mezgla sakārtošana</t>
        </r>
      </text>
    </comment>
    <comment ref="AI377" authorId="4" shapeId="0" xr:uid="{00000000-0006-0000-0000-0000F9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Plāns ir periodika + bibliotēku fonds. Izpilde - tikai periodika</t>
        </r>
      </text>
    </comment>
    <comment ref="F378" authorId="1" shapeId="0" xr:uid="{00000000-0006-0000-0000-0000FA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Vadījāmies pēc budžeta izpildes, sakaru pakalpojumos bija maza summa</t>
        </r>
      </text>
    </comment>
    <comment ref="AF378" authorId="2" shapeId="0" xr:uid="{00000000-0006-0000-0000-0000FB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900 EUR plaukti </t>
        </r>
      </text>
    </comment>
    <comment ref="P379" authorId="1" shapeId="0" xr:uid="{00000000-0006-0000-0000-0000F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Kalnagravā kurina gan ar malku, gan granulām. Prognozē, ka granulu izmaksas sadārdzināsies</t>
        </r>
      </text>
    </comment>
    <comment ref="S379" authorId="4" shapeId="0" xr:uid="{00000000-0006-0000-0000-0000FD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Pašdarbības kolektīvu braucieni, vadītājas patapinājums</t>
        </r>
      </text>
    </comment>
    <comment ref="AE379" authorId="4" shapeId="0" xr:uid="{00000000-0006-0000-0000-0000FE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Vides objekta labiekārtošana (bruģis, elektrība), tehniskās dokumentācijas izstrāde.</t>
        </r>
      </text>
    </comment>
    <comment ref="AE384" authorId="4" shapeId="0" xr:uid="{00000000-0006-0000-0000-0000FF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Sarkaņu vēstis druka</t>
        </r>
      </text>
    </comment>
    <comment ref="AG386" authorId="4" shapeId="0" xr:uid="{00000000-0006-0000-0000-00000001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Pašvaldības ceļu fonda daļa no 21454 EUR</t>
        </r>
      </text>
    </comment>
    <comment ref="AG387" authorId="4" shapeId="0" xr:uid="{00000000-0006-0000-0000-00000101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Valsts ceļu fonda daļa no 33198 EUR</t>
        </r>
      </text>
    </comment>
    <comment ref="H391" authorId="9" shapeId="0" xr:uid="{00000000-0006-0000-0000-000002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ja būs centrālā apkure 466 euro x 4 mēneši</t>
        </r>
      </text>
    </comment>
    <comment ref="AD392" authorId="9" shapeId="0" xr:uid="{00000000-0006-0000-0000-000003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kopētāja apkope
</t>
        </r>
      </text>
    </comment>
    <comment ref="AD393" authorId="9" shapeId="0" xr:uid="{00000000-0006-0000-0000-000004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Vestienas pagasta izdevums</t>
        </r>
      </text>
    </comment>
    <comment ref="H399" authorId="9" shapeId="0" xr:uid="{00000000-0006-0000-0000-000005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420 x 4 mēneši
</t>
        </r>
      </text>
    </comment>
    <comment ref="AD399" authorId="9" shapeId="0" xr:uid="{00000000-0006-0000-0000-000006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pasākumu organizēšanai</t>
        </r>
      </text>
    </comment>
    <comment ref="B400" authorId="0" shapeId="0" xr:uid="{00000000-0006-0000-0000-000007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H403" authorId="9" shapeId="0" xr:uid="{00000000-0006-0000-0000-000008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559 x 4 mēneši
</t>
        </r>
      </text>
    </comment>
    <comment ref="AD403" authorId="9" shapeId="0" xr:uid="{00000000-0006-0000-0000-000009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par ugunsdr.signalizācijas remonta daļu
</t>
        </r>
      </text>
    </comment>
    <comment ref="AF403" authorId="9" shapeId="0" xr:uid="{00000000-0006-0000-0000-00000A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gardrobēs jauns linolejs</t>
        </r>
      </text>
    </comment>
    <comment ref="U405" authorId="6" shapeId="0" xr:uid="{00000000-0006-0000-0000-00000B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1050 internāta bērnu ēdināšana
Pārējais  - pamatskola</t>
        </r>
      </text>
    </comment>
    <comment ref="AF405" authorId="9" shapeId="0" xr:uid="{00000000-0006-0000-0000-00000C01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-Vestienas skolas salidojumam</t>
        </r>
      </text>
    </comment>
    <comment ref="T407" authorId="2" shapeId="0" xr:uid="{00000000-0006-0000-0000-00000D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408" authorId="2" shapeId="0" xr:uid="{00000000-0006-0000-0000-00000E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419" authorId="2" shapeId="0" xr:uid="{00000000-0006-0000-0000-00000F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vairākiem pagastiem kļūdaini netika ielikti plānā bibliotāku fonda līdzekļi.</t>
        </r>
      </text>
    </comment>
    <comment ref="AL419" authorId="2" shapeId="0" xr:uid="{00000000-0006-0000-0000-000010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sociālajiem pabalstiem tika iedalīti līdzekļi pirmajiem pāris mēnešiem, gada laikā tika veikti vairāki grozījumi. 2020.gadā plānā ielikti līdzekļi uzreiz pus gadam, lai nav tik bieži jāveic budžeta grozījumi.</t>
        </r>
      </text>
    </comment>
    <comment ref="E432" authorId="2" shapeId="0" xr:uid="{00000000-0006-0000-0000-000011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+2,5 likmes apkopējiem</t>
        </r>
      </text>
    </comment>
    <comment ref="M432" authorId="6" shapeId="0" xr:uid="{00000000-0006-0000-0000-000012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8640 stadiona apgaismojums 
86400 ventilācijas sistēmas elektrības patēriņš (pašlaik budžetā ielikts 43200)
NEPIECIEŠAMS- telpu elektr.pat. </t>
        </r>
      </text>
    </comment>
    <comment ref="AE432" authorId="0" shapeId="0" xr:uid="{00000000-0006-0000-0000-000013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signalizācija;
ventilācija;
lifta apkopšana;
stadiona uzturēšana</t>
        </r>
      </text>
    </comment>
    <comment ref="AD440" authorId="2" shapeId="0" xr:uid="{00000000-0006-0000-0000-000014010000}">
      <text>
        <r>
          <rPr>
            <sz val="9"/>
            <color indexed="81"/>
            <rFont val="Tahoma"/>
            <family val="2"/>
            <charset val="186"/>
          </rPr>
          <t xml:space="preserve">
3250 transporta izdevumi gatavojoties Dziesmu svētkiem
5403 remontpakalpojumi
1300 īre, noma (skaņu, gaismas aparatūra)</t>
        </r>
      </text>
    </comment>
    <comment ref="AF440" authorId="2" shapeId="0" xr:uid="{00000000-0006-0000-0000-000015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6320 materiāli pulciņiem, inventārs(prožektori, galda spēles, mēbeles, dators…), suvenīri
2000 remontmateriāli
2250 mācību līdzekļi, materiāli pulciņu darbībai (5 EUR uz 1 audzēkni)</t>
        </r>
      </text>
    </comment>
    <comment ref="E455" authorId="6" shapeId="0" xr:uid="{00000000-0006-0000-0000-000016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Pusgadam</t>
        </r>
      </text>
    </comment>
    <comment ref="AD456" authorId="2" shapeId="0" xr:uid="{00000000-0006-0000-0000-000017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15500 filmu noma</t>
        </r>
      </text>
    </comment>
    <comment ref="AE457" authorId="6" shapeId="0" xr:uid="{00000000-0006-0000-0000-000018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1760 EUR no kultūras pasākumiem</t>
        </r>
      </text>
    </comment>
    <comment ref="AF458" authorId="2" shapeId="0" xr:uid="{00000000-0006-0000-0000-000019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6110 pasākumiem</t>
        </r>
      </text>
    </comment>
    <comment ref="AG458" authorId="6" shapeId="0" xr:uid="{00000000-0006-0000-0000-00001A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4900 eur no kultūras pasākumiem</t>
        </r>
      </text>
    </comment>
    <comment ref="B459" authorId="2" shapeId="0" xr:uid="{00000000-0006-0000-0000-00001B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Tiks atklāta vasarā</t>
        </r>
      </text>
    </comment>
    <comment ref="AG474" authorId="0" shapeId="0" xr:uid="{00000000-0006-0000-0000-00001C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Ieskaitot 4300 pūtēju orķestrim</t>
        </r>
      </text>
    </comment>
    <comment ref="V475" authorId="2" shapeId="0" xr:uid="{00000000-0006-0000-0000-00001D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11800 EUR tiks sadalīti pagastiem skolēnu kompensācijām (administrē novads)</t>
        </r>
      </text>
    </comment>
    <comment ref="E485" authorId="2" shapeId="0" xr:uid="{00000000-0006-0000-0000-00001E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Administrācijas štatu sarakstam nāca klāt 3 likmes izglītības nodaļā ar mēnešalgas likmi EUR 940, tika izveidota nekustamā īpašuma pārvaldības un teritoriālās plānošanas nodaļa</t>
        </r>
      </text>
    </comment>
    <comment ref="D486" authorId="2" shapeId="0" xr:uid="{00000000-0006-0000-0000-00001F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80634 - domes priekšsēdētājs un vietnieks</t>
        </r>
      </text>
    </comment>
    <comment ref="AD490" authorId="2" shapeId="0" xr:uid="{00000000-0006-0000-0000-000020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Madonas novada pašvaldības apbalvojumu ceromonijas organizēšana, SKDS pētījums par pašvaldību</t>
        </r>
      </text>
    </comment>
    <comment ref="AE490" authorId="6" shapeId="0" xr:uid="{00000000-0006-0000-0000-000021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9000 EUR pašvaldības apbalvojumu ceremonijas organizēšana
3000 EUR Neplānotie izdevumi</t>
        </r>
      </text>
    </comment>
    <comment ref="AF490" authorId="2" shapeId="0" xr:uid="{00000000-0006-0000-0000-000022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Suvenīri, dāvanas, prezentācijas materiāli</t>
        </r>
      </text>
    </comment>
    <comment ref="AG490" authorId="6" shapeId="0" xr:uid="{00000000-0006-0000-0000-000023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reprezentācijas izdevumi</t>
        </r>
      </text>
    </comment>
    <comment ref="AD491" authorId="2" shapeId="0" xr:uid="{00000000-0006-0000-0000-000024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27000 EUR laikraksts "Vēstnesis"
15000 EUR TV video sižetu veidošana, montāža, raidlaiks
5000 EUR foto pakalpojumi
3000 EUR Stars
5500 EUR reklāmas avīzēs, baneri, afišas ...</t>
        </r>
      </text>
    </comment>
    <comment ref="AE491" authorId="6" shapeId="0" xr:uid="{00000000-0006-0000-0000-000025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'Vēstnesis" 28500 EUR
'Stars" 4200 EUR
Foto 4800 EUR
publicitāte mēdijos, TV, radio 27000 EUR
liela mēroga pasākumu PR 8000 EUR</t>
        </r>
      </text>
    </comment>
    <comment ref="AE492" authorId="0" shapeId="0" xr:uid="{00000000-0006-0000-0000-000026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80 000 Horizon
7400 mājas lapas, epasti;
2500 servru telpas sakārtošana;
2981 MS office skolām
8000 Namejs
986 Adobe
2460 Fortigate ugunsmūris
750 antivīruss
30 000 optikas noma
23000 HOP personāla modulis
</t>
        </r>
      </text>
    </comment>
    <comment ref="AG492" authorId="0" shapeId="0" xr:uid="{00000000-0006-0000-0000-000027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2500 rezerves daļas datoriem, iekārtas,
1500 instrumenti, vadi (IT) </t>
        </r>
      </text>
    </comment>
    <comment ref="F495" authorId="2" shapeId="0" xr:uid="{00000000-0006-0000-0000-000028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Pasta izdevumi ar jauno gadu 1 EUR par vēstules nosūtīšanu</t>
        </r>
      </text>
    </comment>
    <comment ref="AE495" authorId="0" shapeId="0" xr:uid="{00000000-0006-0000-0000-000029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10000 Bāriņtiesas lietvedības sistēma BARIS</t>
        </r>
      </text>
    </comment>
    <comment ref="AL506" authorId="2" shapeId="0" xr:uid="{00000000-0006-0000-0000-00002A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1500 - "Madonas invalīdi" biedrība
EUR 447 - "Pie Kamīna" senioru klubs
EUR 1503 Sarkanais krusts
EUR 1600 Pensionaru biedrība
UR 1500 - Politiski represēto biedrība
EUR 1500 Bēbīšu skola Asniņš
EUR 1300 biedrība Spēkavots</t>
        </r>
      </text>
    </comment>
    <comment ref="AM506" authorId="0" shapeId="0" xr:uid="{00000000-0006-0000-0000-00002B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 EUR politiski represēto biedrība
940 EUR Madonas senioru klubiņš "Pie kamīna"
1520 EUR Madonas pilsētas pensionāru biedrība
1500 EUR Latvijas Sarkanais krusts</t>
        </r>
      </text>
    </comment>
    <comment ref="AI513" authorId="6" shapeId="0" xr:uid="{00000000-0006-0000-0000-00002C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48079 mācību līdzekļiem un grāmātām
11493 mācību satura digitalizācija, citi mācību līdzekļi</t>
        </r>
      </text>
    </comment>
    <comment ref="AD514" authorId="2" shapeId="0" xr:uid="{00000000-0006-0000-0000-00002D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3630 Uzdevumi.lv licences
EUR 880 Letonika.lv licences
EUR 870 Skolutiesibas.lv abonēšana</t>
        </r>
      </text>
    </comment>
    <comment ref="AE514" authorId="6" shapeId="0" xr:uid="{00000000-0006-0000-0000-00002E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4235 uzdevumi.lv
880 letonika.lv
870 skolutiesības.lv
3000 Bite pieslēgums bērnu planšetēm</t>
        </r>
      </text>
    </comment>
    <comment ref="AF514" authorId="2" shapeId="0" xr:uid="{00000000-0006-0000-0000-00002F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</t>
        </r>
      </text>
    </comment>
    <comment ref="AH514" authorId="2" shapeId="0" xr:uid="{00000000-0006-0000-0000-000030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EUR 3630 Uzdevumi.lv licences
EUR 880 Letonika.lv licences
EUR 870 Skolutiesibas.lv abonēšana</t>
        </r>
      </text>
    </comment>
    <comment ref="AK514" authorId="0" shapeId="0" xr:uid="{00000000-0006-0000-0000-000031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524" authorId="2" shapeId="0" xr:uid="{00000000-0006-0000-0000-000032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AL535" authorId="2" shapeId="0" xr:uid="{00000000-0006-0000-0000-000033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visam novadam 640000</t>
        </r>
      </text>
    </comment>
    <comment ref="AM535" authorId="6" shapeId="0" xr:uid="{00000000-0006-0000-0000-000034010000}">
      <text>
        <r>
          <rPr>
            <b/>
            <sz val="9"/>
            <color indexed="81"/>
            <rFont val="Tahoma"/>
            <family val="2"/>
            <charset val="186"/>
          </rPr>
          <t xml:space="preserve">AijaK:
</t>
        </r>
        <r>
          <rPr>
            <sz val="9"/>
            <color indexed="81"/>
            <rFont val="Tahoma"/>
            <family val="2"/>
            <charset val="186"/>
          </rPr>
          <t>739 946 sociālie pabalsti (izdalīts pa struktūrv.)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50 000 atbalsts barikāžu dalībnekiem</t>
        </r>
      </text>
    </comment>
    <comment ref="AE540" authorId="2" shapeId="0" xr:uid="{00000000-0006-0000-0000-000035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 attīstības programma+ vides pārskats
3000 GIS licence
1000 AutoCad programma
3000 Go GIS sistēmas uzturēšana</t>
        </r>
      </text>
    </comment>
    <comment ref="I557" authorId="1" shapeId="0" xr:uid="{00000000-0006-0000-0000-00003601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Mārciena
148Mh x 61,25
Liezēre 
1000 EUR</t>
        </r>
      </text>
    </comment>
    <comment ref="K557" authorId="6" shapeId="0" xr:uid="{00000000-0006-0000-0000-000037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M557" authorId="6" shapeId="0" xr:uid="{00000000-0006-0000-0000-000038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 2600 EUR
Liezēre 150 EUR</t>
        </r>
      </text>
    </comment>
    <comment ref="O557" authorId="6" shapeId="0" xr:uid="{00000000-0006-0000-0000-000039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D562" authorId="2" shapeId="0" xr:uid="{00000000-0006-0000-0000-00003A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atlīdzība tiek plānota pilniem 12 mēnešiem ievērojot pedagogu algu pieaugumu ar 01.09.2020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C3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Vestienas, Degumnieku un Bērzaunes feldšerpunktiem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Lietotajs</author>
    <author>DinaB</author>
    <author>user</author>
    <author>Sandis</author>
    <author>Admin</author>
    <author>AijaK</author>
    <author>Gramatvede</author>
    <author>Skola</author>
    <author>Dators</author>
  </authors>
  <commentList>
    <comment ref="D8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Sākotnējais budžets</t>
        </r>
      </text>
    </comment>
    <comment ref="F8" authorId="1" shapeId="0" xr:uid="{00000000-0006-0000-0300-00000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sarunas (30 eur/Mēn) + internets (130 eru/mēn)</t>
        </r>
      </text>
    </comment>
    <comment ref="H8" authorId="1" shapeId="0" xr:uid="{00000000-0006-0000-0300-000003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7 mWh* 7mēn * 59,06 eur/mWh=2893,94
</t>
        </r>
      </text>
    </comment>
    <comment ref="H10" authorId="1" shapeId="0" xr:uid="{00000000-0006-0000-0300-000004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10,0 mWh* 7mēn * 59,06 eur/mWh=4130</t>
        </r>
      </text>
    </comment>
    <comment ref="F11" authorId="1" shapeId="0" xr:uid="{00000000-0006-0000-0300-000005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Mājas vizītēs nepieciešams internets telefonā, lai izrasktītu e-receptes
10eur/mēn*12 mēn =120 eur</t>
        </r>
      </text>
    </comment>
    <comment ref="H12" authorId="1" shapeId="0" xr:uid="{00000000-0006-0000-0300-000006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15.3 mWh* 7mēn * 59,06 eur/mWh=6325</t>
        </r>
      </text>
    </comment>
    <comment ref="F13" authorId="1" shapeId="0" xr:uid="{00000000-0006-0000-0300-000007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4,24 eur/mēn*2 bibl.*12mēn  =101,76</t>
        </r>
      </text>
    </comment>
    <comment ref="N16" authorId="1" shapeId="0" xr:uid="{00000000-0006-0000-0300-000008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21,67*21,05=456,15</t>
        </r>
      </text>
    </comment>
    <comment ref="H18" authorId="1" shapeId="0" xr:uid="{00000000-0006-0000-0300-000009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15,3 mWh* 7mēn * 59,06 eur/mWh=6325</t>
        </r>
      </text>
    </comment>
    <comment ref="N18" authorId="1" shapeId="0" xr:uid="{00000000-0006-0000-0300-00000A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2,66m3*12mēn*21,05=671,92</t>
        </r>
      </text>
    </comment>
    <comment ref="T18" authorId="1" shapeId="0" xr:uid="{00000000-0006-0000-0300-00000B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Plāns 8 mēnešiem</t>
        </r>
      </text>
    </comment>
    <comment ref="H20" authorId="1" shapeId="0" xr:uid="{00000000-0006-0000-0300-00000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51 mWh* 7mēn * 59,06 eur/mWh=21080</t>
        </r>
      </text>
    </comment>
    <comment ref="N20" authorId="1" shapeId="0" xr:uid="{00000000-0006-0000-0300-00000D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4,1*12*21,05=1035,66</t>
        </r>
      </text>
    </comment>
    <comment ref="T20" authorId="1" shapeId="0" xr:uid="{00000000-0006-0000-0300-00000E000000}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Plāns 5 mēnešiem</t>
        </r>
      </text>
    </comment>
    <comment ref="AH20" authorId="1" shapeId="0" xr:uid="{00000000-0006-0000-0300-00000F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Piešķir novads</t>
        </r>
      </text>
    </comment>
    <comment ref="T22" authorId="2" shapeId="0" xr:uid="{00000000-0006-0000-0300-00001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3" authorId="1" shapeId="0" xr:uid="{00000000-0006-0000-0300-000011000000}">
      <text>
        <r>
          <rPr>
            <b/>
            <sz val="9"/>
            <color indexed="81"/>
            <rFont val="Tahoma"/>
            <family val="2"/>
            <charset val="186"/>
          </rPr>
          <t>Lietotajs: 2517*1,14=2869,38</t>
        </r>
      </text>
    </comment>
    <comment ref="AH31" authorId="2" shapeId="0" xr:uid="{00000000-0006-0000-0300-00001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AH39" authorId="3" shapeId="0" xr:uid="{00000000-0006-0000-0300-00001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t.sk.1200 grāmatas pie novada</t>
        </r>
      </text>
    </comment>
    <comment ref="AH40" authorId="3" shapeId="0" xr:uid="{00000000-0006-0000-0300-000014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t.sk.590 grāmatas pie novada</t>
        </r>
      </text>
    </comment>
    <comment ref="T41" authorId="3" shapeId="0" xr:uid="{00000000-0006-0000-0300-000015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no 48 uz 58</t>
        </r>
      </text>
    </comment>
    <comment ref="T43" authorId="2" shapeId="0" xr:uid="{00000000-0006-0000-0300-00001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46" authorId="3" shapeId="0" xr:uid="{00000000-0006-0000-0300-00001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8 mēnešiem</t>
        </r>
      </text>
    </comment>
    <comment ref="N48" authorId="2" shapeId="0" xr:uid="{00000000-0006-0000-0300-000018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42 klienti x 12 mēneši</t>
        </r>
      </text>
    </comment>
    <comment ref="T48" authorId="3" shapeId="0" xr:uid="{00000000-0006-0000-0300-000019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42 klientix2.45x365</t>
        </r>
      </text>
    </comment>
    <comment ref="AD48" authorId="3" shapeId="0" xr:uid="{00000000-0006-0000-0300-00001A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</t>
        </r>
      </text>
    </comment>
    <comment ref="AD51" authorId="3" shapeId="0" xr:uid="{00000000-0006-0000-0300-00001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lifta,klientu pacēlāja remonti, apkope</t>
        </r>
      </text>
    </comment>
    <comment ref="AD59" authorId="1" shapeId="0" xr:uid="{00000000-0006-0000-0300-00001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1000,-EUR</t>
        </r>
      </text>
    </comment>
    <comment ref="AF59" authorId="1" shapeId="0" xr:uid="{00000000-0006-0000-0300-00001D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600,-EUR</t>
        </r>
      </text>
    </comment>
    <comment ref="AB63" authorId="1" shapeId="0" xr:uid="{00000000-0006-0000-0300-00001E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Dienas nauda skolēnu dziesmu un deju svētki</t>
        </r>
      </text>
    </comment>
    <comment ref="AD63" authorId="1" shapeId="0" xr:uid="{00000000-0006-0000-0300-00001F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Iekārtas apkalpošana un Tehn.pal.sniegšana pēc TN renovācijas uzstādītājai skaņas, gaismas aparatūrai 500,-EUR Pasākumu organizēšanai 700,-EUR</t>
        </r>
      </text>
    </comment>
    <comment ref="AF63" authorId="1" shapeId="0" xr:uid="{00000000-0006-0000-0300-000020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Galdi TN skatītāju zālē 1500,-EUR</t>
        </r>
      </text>
    </comment>
    <comment ref="T68" authorId="2" shapeId="0" xr:uid="{00000000-0006-0000-0300-00002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D72" authorId="2" shapeId="0" xr:uid="{00000000-0006-0000-0300-00002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plāns bija 1/2 gadam, šogad plāno visu gadu, t.sk. atlīdzības</t>
        </r>
      </text>
    </comment>
    <comment ref="G79" authorId="4" shapeId="0" xr:uid="{00000000-0006-0000-0300-000023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S79" authorId="5" shapeId="0" xr:uid="{00000000-0006-0000-0300-000024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Pagasta patapinātie auto, busa degvielas daļa pagastam
</t>
        </r>
      </text>
    </comment>
    <comment ref="AE79" authorId="4" shapeId="0" xr:uid="{00000000-0006-0000-0300-000025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e-paraksts, prese, banka, signalizācija, zemes lietas, paklāji, OVP</t>
        </r>
      </text>
    </comment>
    <comment ref="AG79" authorId="4" shapeId="0" xr:uid="{00000000-0006-0000-0300-000026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Kanceleja, inventārs, saimniecības preces, utml.</t>
        </r>
      </text>
    </comment>
    <comment ref="S80" authorId="5" shapeId="0" xr:uid="{00000000-0006-0000-0300-000027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Bāriņtiesas patapinājums</t>
        </r>
      </text>
    </comment>
    <comment ref="G81" authorId="5" shapeId="0" xr:uid="{00000000-0006-0000-0300-000028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IUN darba telefons</t>
        </r>
      </text>
    </comment>
    <comment ref="I81" authorId="5" shapeId="0" xr:uid="{00000000-0006-0000-0300-000029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un tukšie, t.sk. ar 01.2021. atbrīvotie dzīvokļi.</t>
        </r>
      </text>
    </comment>
    <comment ref="K81" authorId="5" shapeId="0" xr:uid="{00000000-0006-0000-0300-00002A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dzīvokļi, kapi.
Ja noņemam statusu Dzelzavas soc dzīvoklim, plānu var samazināt.</t>
        </r>
      </text>
    </comment>
    <comment ref="M81" authorId="5" shapeId="0" xr:uid="{00000000-0006-0000-0300-00002B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Aizpurves katlu māja, sociālie dzīvokļi. Atbilstoši faktam.</t>
        </r>
      </text>
    </comment>
    <comment ref="AE81" authorId="4" shapeId="0" xr:uid="{00000000-0006-0000-0300-00002C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Dārza tehnikas remonts, dzīvokļu apsaimniekošana, auto remonts, ToiToi noma, apdrošināšana, latvāņu apkarošana, ucc.</t>
        </r>
      </text>
    </comment>
    <comment ref="AG81" authorId="4" shapeId="0" xr:uid="{00000000-0006-0000-0300-00002D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materiāli, inventārs, smērvielas, detaļas, u.c.</t>
        </r>
      </text>
    </comment>
    <comment ref="K84" authorId="5" shapeId="0" xr:uid="{00000000-0006-0000-0300-00002E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2020.g. bija kļūdains plāns. Ievērtēta arī kultūras dīkstāve, t.i. fakts, ka ēku uz laiku neizmanto.</t>
        </r>
      </text>
    </comment>
    <comment ref="M84" authorId="4" shapeId="0" xr:uid="{00000000-0006-0000-0300-00002F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Ievērtēta dīkstāve. Ietilpst Jauniešu centrs.</t>
        </r>
      </text>
    </comment>
    <comment ref="S84" authorId="5" shapeId="0" xr:uid="{00000000-0006-0000-0300-000030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kolektīvu braucieni</t>
        </r>
      </text>
    </comment>
    <comment ref="AE84" authorId="4" shapeId="0" xr:uid="{00000000-0006-0000-0300-000031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 Saimnieciskie darbi (krēslu tīrīšana, paklāju noma, signalizācija, u.c.)</t>
        </r>
      </text>
    </comment>
    <comment ref="AG84" authorId="4" shapeId="0" xr:uid="{00000000-0006-0000-0300-000032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darbi, t.sk. fasādes un atbalstsienas remonts</t>
        </r>
      </text>
    </comment>
    <comment ref="Q85" authorId="4" shapeId="0" xr:uid="{00000000-0006-0000-0300-000033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muzejs</t>
        </r>
      </text>
    </comment>
    <comment ref="AE85" authorId="4" shapeId="0" xr:uid="{00000000-0006-0000-0300-000034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</t>
        </r>
      </text>
    </comment>
    <comment ref="G86" authorId="4" shapeId="0" xr:uid="{00000000-0006-0000-0300-000035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240, telefons</t>
        </r>
      </text>
    </comment>
    <comment ref="S86" authorId="5" shapeId="0" xr:uid="{00000000-0006-0000-0300-000036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busa degvielas daļa</t>
        </r>
      </text>
    </comment>
    <comment ref="AE86" authorId="4" shapeId="0" xr:uid="{00000000-0006-0000-0300-000037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e-klase, paklāji, OVP, ikdienišķie uzturēšanas un pedagoģiskie pakalpojumi, UG noma, signalizācija, kursi, mērījumi, u.c.</t>
        </r>
      </text>
    </comment>
    <comment ref="AG86" authorId="4" shapeId="0" xr:uid="{00000000-0006-0000-0300-000038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inventārs, uzturēšanas remontmateriāli, u.c.</t>
        </r>
      </text>
    </comment>
    <comment ref="G89" authorId="4" shapeId="0" xr:uid="{00000000-0006-0000-0300-000039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I89" authorId="4" shapeId="0" xr:uid="{00000000-0006-0000-0300-00003A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Ēka pieslēgta ciema centrālajam siltumtīklas 08.2020.</t>
        </r>
      </text>
    </comment>
    <comment ref="S89" authorId="5" shapeId="0" xr:uid="{00000000-0006-0000-0300-00003B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Direktores un deju skolotājas patapinājums</t>
        </r>
      </text>
    </comment>
    <comment ref="AE89" authorId="4" shapeId="0" xr:uid="{00000000-0006-0000-0300-00003C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!! Akreditācija !!, e-klase, IT uzturēšana, serveri, digitālo māc.līdz. Abonēšana, OVP 13 darbiniekiem</t>
        </r>
      </text>
    </comment>
    <comment ref="AG89" authorId="4" shapeId="0" xr:uid="{00000000-0006-0000-0300-00003D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inventārs (statīvu plāksnes, statīvi, krēsli, u.c.), saimnieciskie materiāli, kanceleja, medikamenti, jaunā standrta grāmatas, apbalvojamās grāmatas, u.c.</t>
        </r>
      </text>
    </comment>
    <comment ref="AI89" authorId="4" shapeId="0" xr:uid="{00000000-0006-0000-0300-00003E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literatūra, prese, albumi
</t>
        </r>
      </text>
    </comment>
    <comment ref="T91" authorId="2" shapeId="0" xr:uid="{00000000-0006-0000-0300-00003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B92" authorId="2" shapeId="0" xr:uid="{00000000-0006-0000-0300-00004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G92" authorId="5" shapeId="0" xr:uid="{00000000-0006-0000-0300-000041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telefons 18/mēn, LMT rūteris 30/mēn</t>
        </r>
      </text>
    </comment>
    <comment ref="K92" authorId="4" shapeId="0" xr:uid="{00000000-0006-0000-0300-000042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Atbilstoši faktiskajam ūdens patēriņam iestādē.</t>
        </r>
      </text>
    </comment>
    <comment ref="N92" authorId="2" shapeId="0" xr:uid="{00000000-0006-0000-0300-00004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33 klienti X 12 mēn.</t>
        </r>
      </text>
    </comment>
    <comment ref="Q92" authorId="5" shapeId="0" xr:uid="{00000000-0006-0000-0300-000044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Ir malka, pavasarī būs jāpiepērk, bet patēriņš ir samazinājies</t>
        </r>
      </text>
    </comment>
    <comment ref="S92" authorId="5" shapeId="0" xr:uid="{00000000-0006-0000-0300-000045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Pansionāta buss un vadītājas patapinājums</t>
        </r>
      </text>
    </comment>
    <comment ref="U92" authorId="4" shapeId="0" xr:uid="{00000000-0006-0000-0300-000046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27 klienti</t>
        </r>
      </text>
    </comment>
    <comment ref="AG92" authorId="6" shapeId="0" xr:uid="{00000000-0006-0000-0300-000047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Klāt nāk:
   - darbinieku apģērbs
   - palielinājums medikamentiem
   - palielinājums higēnas precēm</t>
        </r>
      </text>
    </comment>
    <comment ref="W96" authorId="4" shapeId="0" xr:uid="{00000000-0006-0000-0300-000048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samazinājums C19 dēļ
</t>
        </r>
      </text>
    </comment>
    <comment ref="S102" authorId="5" shapeId="0" xr:uid="{00000000-0006-0000-0300-000049000000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Sociālās darbinieces patapinājums</t>
        </r>
      </text>
    </comment>
    <comment ref="AH103" authorId="2" shapeId="0" xr:uid="{00000000-0006-0000-0300-00004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J104" authorId="0" shapeId="0" xr:uid="{00000000-0006-0000-0300-00004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142x1.20= 170.40, kanaliz. 142x1.43=203.06</t>
        </r>
      </text>
    </comment>
    <comment ref="S109" authorId="0" shapeId="0" xr:uid="{00000000-0006-0000-0300-00004C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</t>
        </r>
      </text>
    </comment>
    <comment ref="J110" authorId="0" shapeId="0" xr:uid="{00000000-0006-0000-0300-00004D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8m3x1.20=9.60; kanaliz. 8m3x1.43=11.44</t>
        </r>
      </text>
    </comment>
    <comment ref="AH110" authorId="0" shapeId="0" xr:uid="{00000000-0006-0000-0300-00004E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žurnāli parvaldē 1100, bibliot.fonds 2478 euro (novadā)</t>
        </r>
      </text>
    </comment>
    <comment ref="AI110" authorId="0" shapeId="0" xr:uid="{00000000-0006-0000-0300-00004F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1117eur pārvaldē laikraksti un žurnāli
2151eur pamatlīdz. bibl.fondi (novadā)</t>
        </r>
      </text>
    </comment>
    <comment ref="H111" authorId="0" shapeId="0" xr:uid="{00000000-0006-0000-0300-000050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55.05mwhx 53.34=2936</t>
        </r>
      </text>
    </comment>
    <comment ref="J111" authorId="0" shapeId="0" xr:uid="{00000000-0006-0000-0300-00005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ūdens- 42m3x1.20=50.40; kanaliz.-42x1.43=60.06</t>
        </r>
      </text>
    </comment>
    <comment ref="P111" authorId="0" shapeId="0" xr:uid="{00000000-0006-0000-0300-000052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tautas nama apkurei 15m3x32=480</t>
        </r>
      </text>
    </comment>
    <comment ref="Q111" authorId="0" shapeId="0" xr:uid="{00000000-0006-0000-0300-00005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TN apkurei 15m³x32=480</t>
        </r>
      </text>
    </comment>
    <comment ref="S111" authorId="0" shapeId="0" xr:uid="{00000000-0006-0000-0300-000054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 gada sākumā nebūs braucienu</t>
        </r>
      </text>
    </comment>
    <comment ref="P112" authorId="0" shapeId="0" xr:uid="{00000000-0006-0000-0300-000055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 Jauniešu telpas Jāņuklna apkurei 15m3x32= 480, granulu iegāde ēkas Vesetas 4 apkurei 15.5 tx187.55=2907.02</t>
        </r>
      </text>
    </comment>
    <comment ref="H113" authorId="0" shapeId="0" xr:uid="{00000000-0006-0000-0300-000056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139MWHx 56.1=7841</t>
        </r>
      </text>
    </comment>
    <comment ref="J113" authorId="0" shapeId="0" xr:uid="{00000000-0006-0000-0300-00005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kanaliz.-744m3x0.31=230.64;     ūdens-744m3x0.28=228.48
</t>
        </r>
      </text>
    </comment>
    <comment ref="S113" authorId="0" shapeId="0" xr:uid="{00000000-0006-0000-0300-000058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 ārpus iestādes (vešana uz baseinu, mācību ekskursijas)</t>
        </r>
      </text>
    </comment>
    <comment ref="T113" authorId="0" shapeId="0" xr:uid="{00000000-0006-0000-0300-000059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11849bērnu dienas x 1.32=15641</t>
        </r>
      </text>
    </comment>
    <comment ref="AF113" authorId="0" shapeId="0" xr:uid="{00000000-0006-0000-0300-00005A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t.sk.gultas veļas nomaiņa par 564euro, bērnu gultiņi, madracīšu nomaiņa -2200euro</t>
        </r>
      </text>
    </comment>
    <comment ref="H115" authorId="0" shapeId="0" xr:uid="{00000000-0006-0000-0300-00005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332MWHx53.34=17709
</t>
        </r>
      </text>
    </comment>
    <comment ref="J115" authorId="0" shapeId="0" xr:uid="{00000000-0006-0000-0300-00005C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864m3x1.20=1036.80' kanaliz. 864m3x1.43=1235.52
</t>
        </r>
      </text>
    </comment>
    <comment ref="T115" authorId="0" shapeId="0" xr:uid="{00000000-0006-0000-0300-00005D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9999 b/d gadā x0.72=7199.28</t>
        </r>
      </text>
    </comment>
    <comment ref="T116" authorId="2" shapeId="0" xr:uid="{00000000-0006-0000-0300-00005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19" authorId="0" shapeId="0" xr:uid="{00000000-0006-0000-0300-00005F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plānoti atbilstoši ieņēmumiem: skolas darbin.-1650, PII darbin.-1100</t>
        </r>
      </text>
    </comment>
    <comment ref="S120" authorId="0" shapeId="0" xr:uid="{00000000-0006-0000-0300-000060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20" authorId="0" shapeId="0" xr:uid="{00000000-0006-0000-0300-00006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aitobusu apkopēm, remonta, apdrošināšanai,  tehn.apskatēm 16200, materiālu iegādei 300euro
</t>
        </r>
      </text>
    </comment>
    <comment ref="W120" authorId="0" shapeId="0" xr:uid="{00000000-0006-0000-0300-000062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21" authorId="0" shapeId="0" xr:uid="{00000000-0006-0000-0300-00006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8000 euro ar biļetēm, 1800 euro ceļa komp.ja ved ar transportu</t>
        </r>
      </text>
    </comment>
    <comment ref="W121" authorId="0" shapeId="0" xr:uid="{00000000-0006-0000-0300-000064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tiks izmantots mazāk sabiedriskais transports</t>
        </r>
      </text>
    </comment>
    <comment ref="J122" authorId="0" shapeId="0" xr:uid="{00000000-0006-0000-0300-000065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ūdens- 7m3x1.20=8.40; kanaliz.-7m3x1.43=10.01</t>
        </r>
      </text>
    </comment>
    <comment ref="J124" authorId="0" shapeId="0" xr:uid="{00000000-0006-0000-0300-000066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 kanaliz.-8m3x1.43=11.44</t>
        </r>
      </text>
    </comment>
    <comment ref="P124" authorId="0" shapeId="0" xr:uid="{00000000-0006-0000-0300-00006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kokskaidu granulas  ēkas vesetas 4 apkurei  6t x187.55=1125.30</t>
        </r>
      </text>
    </comment>
    <comment ref="P125" authorId="0" shapeId="0" xr:uid="{00000000-0006-0000-0300-000068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kutin.skaida 480m3 x12.584=6040.32</t>
        </r>
      </text>
    </comment>
    <comment ref="R126" authorId="0" shapeId="0" xr:uid="{00000000-0006-0000-0300-000069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zāles pļaušanai, krūmgriezim, sniega un lapu pūtējam</t>
        </r>
      </text>
    </comment>
    <comment ref="AD126" authorId="0" shapeId="0" xr:uid="{00000000-0006-0000-0300-00006A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2020.g.Latvijas Ziedu svētku pasākumu Kalsnavas pagastā</t>
        </r>
      </text>
    </comment>
    <comment ref="AF126" authorId="0" shapeId="0" xr:uid="{00000000-0006-0000-0300-00006B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Latvijas ziedu svētku pasākumu 2020.g. jūlijā Kalsnavas pagastā</t>
        </r>
      </text>
    </comment>
    <comment ref="H127" authorId="0" shapeId="0" xr:uid="{00000000-0006-0000-0300-00006C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I127" authorId="0" shapeId="0" xr:uid="{00000000-0006-0000-0300-00006D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AD127" authorId="0" shapeId="0" xr:uid="{00000000-0006-0000-0300-00006E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dzīvojamā fonada remonts, labiekārtošana- summa atbilst. Plānotiem ieņemumiem no īres naudas peļņas daļas</t>
        </r>
      </text>
    </comment>
    <comment ref="R128" authorId="0" shapeId="0" xr:uid="{00000000-0006-0000-0300-00006F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automašina Citroen</t>
        </r>
      </text>
    </comment>
    <comment ref="L129" authorId="0" shapeId="0" xr:uid="{00000000-0006-0000-0300-000070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2166kwx 0.165=357.39</t>
        </r>
      </text>
    </comment>
    <comment ref="M129" authorId="0" shapeId="0" xr:uid="{00000000-0006-0000-0300-00007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uz nakti tiks izslēgts apgaismojums</t>
        </r>
      </text>
    </comment>
    <comment ref="AD131" authorId="0" shapeId="0" xr:uid="{00000000-0006-0000-0300-000072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rekut.izgāztuves Siliņi, testēšanas pārskata sagatavošana, pļaušanas pakalpojumi</t>
        </r>
      </text>
    </comment>
    <comment ref="AE131" authorId="0" shapeId="0" xr:uid="{00000000-0006-0000-0300-00007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rekult.izgāztuves Siliņi pļaušanas pakalpojumi</t>
        </r>
      </text>
    </comment>
    <comment ref="AM132" authorId="0" shapeId="0" xr:uid="{00000000-0006-0000-0300-000074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Droši vien, vajadzēs vairāk, jo GMI paaugstināts</t>
        </r>
      </text>
    </comment>
    <comment ref="J136" authorId="2" shapeId="0" xr:uid="{00000000-0006-0000-0300-00007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Bija sadalīts pa vairākām struktūrvienībām</t>
        </r>
      </text>
    </comment>
    <comment ref="L136" authorId="2" shapeId="0" xr:uid="{00000000-0006-0000-0300-00007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Vairāks iestādes</t>
        </r>
      </text>
    </comment>
    <comment ref="N136" authorId="2" shapeId="0" xr:uid="{00000000-0006-0000-0300-000077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vasaras laikā peldvietas konteiners</t>
        </r>
      </text>
    </comment>
    <comment ref="P136" authorId="2" shapeId="0" xr:uid="{00000000-0006-0000-0300-000078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PII, bibliotēka, FVP, jauniešu centrs
Granulas</t>
        </r>
      </text>
    </comment>
    <comment ref="AF137" authorId="2" shapeId="0" xr:uid="{00000000-0006-0000-0300-000079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sniega lāpstas, lāpstas, slotas, pļaujmašīna, urbjamašīna
 500 granulu glabāšanas nojumes iežogošana</t>
        </r>
      </text>
    </comment>
    <comment ref="R140" authorId="2" shapeId="0" xr:uid="{00000000-0006-0000-0300-00007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mājas vizītēm</t>
        </r>
      </text>
    </comment>
    <comment ref="AF140" authorId="2" shapeId="0" xr:uid="{00000000-0006-0000-0300-00007B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400 Lielākas telpas, vajag vairāk dezinfekcijas līdzekļu un saimniecības preču
550 medikamenti
50 kancelejas preces</t>
        </r>
      </text>
    </comment>
    <comment ref="AH141" authorId="2" shapeId="0" xr:uid="{00000000-0006-0000-0300-00007C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688 iedz. x 1,95</t>
        </r>
      </text>
    </comment>
    <comment ref="AF142" authorId="2" shapeId="0" xr:uid="{00000000-0006-0000-0300-00007D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1000 pasākumiem
600 mēbeļu atjaunošana rokdarbu pulciņa
</t>
        </r>
      </text>
    </comment>
    <comment ref="AF145" authorId="2" shapeId="0" xr:uid="{00000000-0006-0000-0300-00007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mazāk pakalpojumos</t>
        </r>
      </text>
    </comment>
    <comment ref="T146" authorId="2" shapeId="0" xr:uid="{00000000-0006-0000-0300-00007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F149" authorId="2" shapeId="0" xr:uid="{00000000-0006-0000-0300-00008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300 Kancelejas preces, saimniecības preces, galda spēles
500 dators</t>
        </r>
      </text>
    </comment>
    <comment ref="H157" authorId="2" shapeId="0" xr:uid="{00000000-0006-0000-0300-00008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Pakalp.no AS Mad.silt.3 mēnvisās iest.</t>
        </r>
      </text>
    </comment>
    <comment ref="L157" authorId="2" shapeId="0" xr:uid="{00000000-0006-0000-0300-00008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Nebūs Aiviekstes k/m</t>
        </r>
      </text>
    </comment>
    <comment ref="P157" authorId="2" shapeId="0" xr:uid="{00000000-0006-0000-0300-00008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kurin.visās iest.4 mēn.</t>
        </r>
      </text>
    </comment>
    <comment ref="R157" authorId="2" shapeId="0" xr:uid="{00000000-0006-0000-0300-00008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daudz braucienu uz Madonas NP dok.nog.utl.</t>
        </r>
      </text>
    </comment>
    <comment ref="AH161" authorId="2" shapeId="0" xr:uid="{00000000-0006-0000-0300-00008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Žurnāli 430 , grāmatas 1654 eiro</t>
        </r>
      </text>
    </comment>
    <comment ref="J164" authorId="2" shapeId="0" xr:uid="{00000000-0006-0000-0300-00008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sk.paliel.pret 2018.</t>
        </r>
      </text>
    </comment>
    <comment ref="R164" authorId="2" shapeId="0" xr:uid="{00000000-0006-0000-0300-000087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degviela bērnu vešanai no Mārcienas</t>
        </r>
      </text>
    </comment>
    <comment ref="AD164" authorId="2" shapeId="0" xr:uid="{00000000-0006-0000-0300-000088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kāpņu telpas rem.~1000 eiro
</t>
        </r>
      </text>
    </comment>
    <comment ref="AF164" authorId="2" shapeId="0" xr:uid="{00000000-0006-0000-0300-000089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sk.pal.-mazg.,higiēnas, matraču ieg.,veļa utl.</t>
        </r>
      </text>
    </comment>
    <comment ref="I166" authorId="6" shapeId="0" xr:uid="{00000000-0006-0000-0300-00008A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39495 - iepriekš iesūtītā summa
42065 - Apkures izmaksu pieaugums
37065 - nolēma vadība</t>
        </r>
      </text>
    </comment>
    <comment ref="AD166" authorId="2" shapeId="0" xr:uid="{00000000-0006-0000-0300-00008B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"mini"kosmētiskie rem.iekštelpās
2000 EUR skolas akreditācija</t>
        </r>
      </text>
    </comment>
    <comment ref="AF166" authorId="2" shapeId="0" xr:uid="{00000000-0006-0000-0300-00008C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kosm.rem.materiālu ieg., inventāra ieg.klasei</t>
        </r>
      </text>
    </comment>
    <comment ref="T167" authorId="2" shapeId="0" xr:uid="{00000000-0006-0000-0300-00008D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69" authorId="2" shapeId="0" xr:uid="{00000000-0006-0000-0300-00008E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Lifta darb.elektr.~1500 eiro</t>
        </r>
      </text>
    </comment>
    <comment ref="N169" authorId="2" shapeId="0" xr:uid="{00000000-0006-0000-0300-00008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30 cilvēki x 12 mēn.</t>
        </r>
      </text>
    </comment>
    <comment ref="T169" authorId="2" shapeId="0" xr:uid="{00000000-0006-0000-0300-00009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2.90 eiro/d.</t>
        </r>
      </text>
    </comment>
    <comment ref="AF169" authorId="2" shapeId="0" xr:uid="{00000000-0006-0000-0300-00009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medik.patēr.2019g.11153 eiro,pretizgul.matraču ieg.</t>
        </r>
      </text>
    </comment>
    <comment ref="J173" authorId="2" shapeId="0" xr:uid="{00000000-0006-0000-0300-00009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 būs kanaliz.??
</t>
        </r>
      </text>
    </comment>
    <comment ref="P173" authorId="2" shapeId="0" xr:uid="{00000000-0006-0000-0300-00009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iepirk.cena mazāka</t>
        </r>
      </text>
    </comment>
    <comment ref="AD184" authorId="2" shapeId="0" xr:uid="{00000000-0006-0000-0300-00009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jaunaudžu kopšana
</t>
        </r>
      </text>
    </comment>
    <comment ref="AH185" authorId="2" shapeId="0" xr:uid="{00000000-0006-0000-0300-00009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R186" authorId="7" shapeId="0" xr:uid="{00000000-0006-0000-0300-000096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Vadītājs pārvalda arī Vestienu</t>
        </r>
      </text>
    </comment>
    <comment ref="F188" authorId="7" shapeId="0" xr:uid="{00000000-0006-0000-0300-000097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interneta pieslēgums telefonam ĪUN vad.</t>
        </r>
      </text>
    </comment>
    <comment ref="P188" authorId="7" shapeId="0" xr:uid="{00000000-0006-0000-0300-000098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 tukšajiem dzīvokļiem Ozolu 12-3,7</t>
        </r>
      </text>
    </comment>
    <comment ref="AF188" authorId="7" shapeId="0" xr:uid="{00000000-0006-0000-0300-000099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tehnikas remontmateriāli, instrumenti</t>
        </r>
      </text>
    </comment>
    <comment ref="AF190" authorId="7" shapeId="0" xr:uid="{00000000-0006-0000-0300-00009A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dators bibliotekārei, žalūzijas interneta punktam</t>
        </r>
      </text>
    </comment>
    <comment ref="F195" authorId="7" shapeId="0" xr:uid="{00000000-0006-0000-0300-00009B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Lattelekom ekonomiskā paka 204 euro gadā</t>
        </r>
      </text>
    </comment>
    <comment ref="T195" authorId="7" shapeId="0" xr:uid="{00000000-0006-0000-0300-00009C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195" authorId="7" shapeId="0" xr:uid="{00000000-0006-0000-0300-00009D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mācību līdzekļiem</t>
        </r>
      </text>
    </comment>
    <comment ref="T196" authorId="7" shapeId="0" xr:uid="{00000000-0006-0000-0300-00009E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196" authorId="7" shapeId="0" xr:uid="{00000000-0006-0000-0300-00009F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māc.līdzekļiem
inventārs  5480 (mēbeles klasēm)</t>
        </r>
      </text>
    </comment>
    <comment ref="T198" authorId="2" shapeId="0" xr:uid="{00000000-0006-0000-0300-0000A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R201" authorId="7" shapeId="0" xr:uid="{00000000-0006-0000-0300-0000A1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vienam reisam sniedz pakalpojumu</t>
        </r>
      </text>
    </comment>
    <comment ref="V201" authorId="7" shapeId="0" xr:uid="{00000000-0006-0000-0300-0000A2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noslēgts līgums par viena reisa pārvadājumu 01.-05.</t>
        </r>
      </text>
    </comment>
    <comment ref="AD210" authorId="7" shapeId="0" xr:uid="{00000000-0006-0000-0300-0000A3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dienesta viesnīcas 900</t>
        </r>
      </text>
    </comment>
    <comment ref="AF210" authorId="7" shapeId="0" xr:uid="{00000000-0006-0000-0300-0000A4000000}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inventārs 2195</t>
        </r>
      </text>
    </comment>
    <comment ref="AH211" authorId="2" shapeId="0" xr:uid="{00000000-0006-0000-0300-0000A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212" authorId="1" shapeId="0" xr:uid="{00000000-0006-0000-0300-0000A6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sakaru pakalp. tiek grāmatota marku iegāde</t>
        </r>
      </text>
    </comment>
    <comment ref="L212" authorId="1" shapeId="0" xr:uid="{00000000-0006-0000-0300-0000A7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patēriņa. Palielinājums saistīts ar doktorāta telpām  </t>
        </r>
      </text>
    </comment>
    <comment ref="M212" authorId="1" shapeId="0" xr:uid="{00000000-0006-0000-0300-0000A8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Par palielinājuma daļu (2200 EUR) palielinās ari ieņēmumi</t>
        </r>
      </text>
    </comment>
    <comment ref="S212" authorId="1" shapeId="0" xr:uid="{00000000-0006-0000-0300-0000A9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mēn vid. 25 litri x 1,07 EURx 11 mēn</t>
        </r>
      </text>
    </comment>
    <comment ref="AD212" authorId="1" shapeId="0" xr:uid="{00000000-0006-0000-0300-0000AA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Busiņa remonts 2500 EUR</t>
        </r>
      </text>
    </comment>
    <comment ref="AO212" authorId="6" shapeId="0" xr:uid="{00000000-0006-0000-0300-0000AB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14" authorId="1" shapeId="0" xr:uid="{00000000-0006-0000-0300-0000A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104Mh x 67,63 EUR pēc 2018.g. sept.-dec.</t>
        </r>
      </text>
    </comment>
    <comment ref="I214" authorId="1" shapeId="0" xr:uid="{00000000-0006-0000-0300-0000AD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193Mh x 61,25</t>
        </r>
      </text>
    </comment>
    <comment ref="L214" authorId="1" shapeId="0" xr:uid="{00000000-0006-0000-0300-0000AE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maijs-septembris pansionāta karstam ūdenim 5700EUR</t>
        </r>
      </text>
    </comment>
    <comment ref="N214" authorId="2" shapeId="0" xr:uid="{00000000-0006-0000-0300-0000A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3EUR x 61iemītnieks x 12 mēneši</t>
        </r>
      </text>
    </comment>
    <comment ref="T214" authorId="1" shapeId="0" xr:uid="{00000000-0006-0000-0300-0000B0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2,35 dienā x 61 cilvēks x 365 dienas x 90%</t>
        </r>
      </text>
    </comment>
    <comment ref="U214" authorId="1" shapeId="0" xr:uid="{00000000-0006-0000-0300-0000B1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2,30EUR dienā x 61x 365 dienas x 95%apmeklētība</t>
        </r>
      </text>
    </comment>
    <comment ref="AF214" authorId="1" shapeId="0" xr:uid="{00000000-0006-0000-0300-0000B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1)2019.g. izpilde pamperu iegādei lielāka par plānoto
2)gultas veļas iegāde</t>
        </r>
      </text>
    </comment>
    <comment ref="N218" authorId="1" shapeId="0" xr:uid="{00000000-0006-0000-0300-0000B3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arī atkritumu noglab. poligonā</t>
        </r>
      </text>
    </comment>
    <comment ref="P218" authorId="1" shapeId="0" xr:uid="{00000000-0006-0000-0300-0000B4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120kub malkas aprīļa mēn
</t>
        </r>
      </text>
    </comment>
    <comment ref="AD218" authorId="1" shapeId="0" xr:uid="{00000000-0006-0000-0300-0000B5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teritorijas appļaušanai tiks vairāk ņemts pakalpojums </t>
        </r>
      </text>
    </comment>
    <comment ref="AO218" authorId="6" shapeId="0" xr:uid="{00000000-0006-0000-0300-0000B6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21" authorId="1" shapeId="0" xr:uid="{00000000-0006-0000-0300-0000B7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118Mh x 67,63 EUR pēc 2018.g. sept.-dec.</t>
        </r>
      </text>
    </comment>
    <comment ref="L221" authorId="1" shapeId="0" xr:uid="{00000000-0006-0000-0300-0000B8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pieslēguma maksa ir 1224 EUR</t>
        </r>
      </text>
    </comment>
    <comment ref="AD224" authorId="1" shapeId="0" xr:uid="{00000000-0006-0000-0300-0000B9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ielikts 1x gadā seminārs/apmācība</t>
        </r>
      </text>
    </comment>
    <comment ref="AF224" authorId="1" shapeId="0" xr:uid="{00000000-0006-0000-0300-0000BA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pieprasījumā 275 EUR</t>
        </r>
      </text>
    </comment>
    <comment ref="H225" authorId="1" shapeId="0" xr:uid="{00000000-0006-0000-0300-0000BB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98Mh x 67,63 EUR pēc 2018.g. sept.-dec.</t>
        </r>
      </text>
    </comment>
    <comment ref="I225" authorId="1" shapeId="0" xr:uid="{00000000-0006-0000-0300-0000BC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180Mh x 61,25</t>
        </r>
      </text>
    </comment>
    <comment ref="L225" authorId="1" shapeId="0" xr:uid="{00000000-0006-0000-0300-0000BD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izpildes</t>
        </r>
      </text>
    </comment>
    <comment ref="AD227" authorId="1" shapeId="0" xr:uid="{00000000-0006-0000-0300-0000BE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kausu, medaļu apdrukai</t>
        </r>
      </text>
    </comment>
    <comment ref="R228" authorId="1" shapeId="0" xr:uid="{00000000-0006-0000-0300-0000BF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Bēnu aizvešanai uz Bārzaunes PII = 90l degv.mēnesī</t>
        </r>
      </text>
    </comment>
    <comment ref="V228" authorId="1" shapeId="0" xr:uid="{00000000-0006-0000-0300-0000C0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2019.g.izpildes</t>
        </r>
      </text>
    </comment>
    <comment ref="AF230" authorId="1" shapeId="0" xr:uid="{00000000-0006-0000-0300-0000C1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pieprasījuma - ziedi jubilāriem un  saldumu paciņas vientuļiem pens.</t>
        </r>
      </text>
    </comment>
    <comment ref="I231" authorId="1" shapeId="0" xr:uid="{00000000-0006-0000-0300-0000C2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E231" authorId="0" shapeId="0" xr:uid="{00000000-0006-0000-0300-0000C3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dušas telpas remonts
starpsienu montāža</t>
        </r>
      </text>
    </comment>
    <comment ref="I232" authorId="1" shapeId="0" xr:uid="{00000000-0006-0000-0300-0000C4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H237" authorId="2" shapeId="0" xr:uid="{00000000-0006-0000-0300-0000C5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500 periodika
846 bibliotēku fonds</t>
        </r>
      </text>
    </comment>
    <comment ref="B243" authorId="2" shapeId="0" xr:uid="{00000000-0006-0000-0300-0000C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AH252" authorId="2" shapeId="0" xr:uid="{00000000-0006-0000-0300-0000C7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P253" authorId="8" shapeId="0" xr:uid="{00000000-0006-0000-0300-0000C8000000}">
      <text>
        <r>
          <rPr>
            <b/>
            <sz val="9"/>
            <color indexed="81"/>
            <rFont val="Tahoma"/>
            <family val="2"/>
            <charset val="186"/>
          </rPr>
          <t>Kurināmais - granulas, plānots pēc 2019. gada izpildes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253" authorId="8" shapeId="0" xr:uid="{00000000-0006-0000-0300-0000C9000000}">
      <text>
        <r>
          <rPr>
            <b/>
            <sz val="9"/>
            <color indexed="81"/>
            <rFont val="Tahoma"/>
            <family val="2"/>
            <charset val="186"/>
          </rPr>
          <t>2019.gada izpildes līmenī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53" authorId="8" shapeId="0" xr:uid="{00000000-0006-0000-0300-0000CA000000}">
      <text>
        <r>
          <rPr>
            <b/>
            <sz val="9"/>
            <color indexed="81"/>
            <rFont val="Tahoma"/>
            <family val="2"/>
            <charset val="186"/>
          </rPr>
          <t>t.sk. klānu vēstis 3560, apdrošināšana 554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253" authorId="8" shapeId="0" xr:uid="{00000000-0006-0000-0300-0000CB000000}">
      <text>
        <r>
          <rPr>
            <b/>
            <sz val="9"/>
            <color indexed="81"/>
            <rFont val="Tahoma"/>
            <family val="2"/>
            <charset val="186"/>
          </rPr>
          <t>t.sk. grīdas seguma nomaiņa, inventārs, videonovērošanas papildināšana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59" authorId="8" shapeId="0" xr:uid="{00000000-0006-0000-0300-0000CC000000}">
      <text>
        <r>
          <rPr>
            <b/>
            <sz val="9"/>
            <color indexed="81"/>
            <rFont val="Tahoma"/>
            <family val="2"/>
            <charset val="186"/>
          </rPr>
          <t>kosmētiskais remonts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259" authorId="8" shapeId="0" xr:uid="{00000000-0006-0000-0300-0000CD000000}">
      <text>
        <r>
          <rPr>
            <b/>
            <sz val="9"/>
            <color indexed="81"/>
            <rFont val="Tahoma"/>
            <family val="2"/>
            <charset val="186"/>
          </rPr>
          <t>materiāli kosmētiskajam remontam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60" authorId="8" shapeId="0" xr:uid="{00000000-0006-0000-0300-0000CE000000}">
      <text>
        <r>
          <rPr>
            <b/>
            <sz val="9"/>
            <color indexed="81"/>
            <rFont val="Tahoma"/>
            <family val="2"/>
            <charset val="186"/>
          </rPr>
          <t>remonti turpinās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260" authorId="8" shapeId="0" xr:uid="{00000000-0006-0000-0300-0000CF000000}">
      <text>
        <r>
          <rPr>
            <b/>
            <sz val="9"/>
            <color indexed="81"/>
            <rFont val="Tahoma"/>
            <family val="2"/>
            <charset val="186"/>
          </rPr>
          <t>kāpņu telpas remonts, ārdurvju nomaiņa u.c.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261" authorId="8" shapeId="0" xr:uid="{00000000-0006-0000-0300-0000D0000000}">
      <text>
        <r>
          <rPr>
            <b/>
            <sz val="9"/>
            <color indexed="81"/>
            <rFont val="Tahoma"/>
            <family val="2"/>
            <charset val="186"/>
          </rPr>
          <t>970 iedz.*1.95=1892
presei 400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63" authorId="8" shapeId="0" xr:uid="{00000000-0006-0000-0300-0000D1000000}">
      <text>
        <r>
          <rPr>
            <b/>
            <sz val="9"/>
            <color indexed="81"/>
            <rFont val="Tahoma"/>
            <family val="2"/>
            <charset val="186"/>
          </rPr>
          <t>ugunsaizsardzības pārklājums aizkariem..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267" authorId="8" shapeId="0" xr:uid="{00000000-0006-0000-0300-0000D2000000}">
      <text>
        <r>
          <rPr>
            <b/>
            <sz val="9"/>
            <color indexed="81"/>
            <rFont val="Tahoma"/>
            <family val="2"/>
            <charset val="186"/>
          </rPr>
          <t>preses izdevumi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T269" authorId="2" shapeId="0" xr:uid="{00000000-0006-0000-0300-0000D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V270" authorId="8" shapeId="0" xr:uid="{00000000-0006-0000-0300-0000D4000000}">
      <text>
        <r>
          <rPr>
            <b/>
            <sz val="9"/>
            <color indexed="81"/>
            <rFont val="Tahoma"/>
            <family val="2"/>
            <charset val="186"/>
          </rPr>
          <t>riepas 600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78" authorId="1" shapeId="0" xr:uid="{00000000-0006-0000-0300-0000D5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cenu pieaugums</t>
        </r>
      </text>
    </comment>
    <comment ref="P283" authorId="1" shapeId="0" xr:uid="{00000000-0006-0000-0300-0000D6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Uzstādīts granulu katls</t>
        </r>
      </text>
    </comment>
    <comment ref="U287" authorId="0" shapeId="0" xr:uid="{00000000-0006-0000-0300-0000D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Pieprasīts bija daudz vairāk</t>
        </r>
      </text>
    </comment>
    <comment ref="AE287" authorId="6" shapeId="0" xr:uid="{00000000-0006-0000-0300-0000D8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Pāgājušā gada līmenis
+klāt nāk OVP 350EUR</t>
        </r>
      </text>
    </comment>
    <comment ref="T291" authorId="2" shapeId="0" xr:uid="{00000000-0006-0000-0300-0000D9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300" authorId="2" shapeId="0" xr:uid="{00000000-0006-0000-0300-0000D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301" authorId="1" shapeId="0" xr:uid="{00000000-0006-0000-0300-0000DB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Pieslēgts optiskais kabelis 270 *12=3240</t>
        </r>
      </text>
    </comment>
    <comment ref="S301" authorId="4" shapeId="0" xr:uid="{00000000-0006-0000-0300-0000DC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Ford Galaxy, Citroen Jumpy, lietvedes patapinājums</t>
        </r>
      </text>
    </comment>
    <comment ref="AE301" authorId="4" shapeId="0" xr:uid="{00000000-0006-0000-0300-0000DD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Signalizācija, serveri, Venden, paklāji, u.c. administrēšanas darbi.
Darbinieku OVP
Zemju uzmerīšana
obligātie elektro pretestības mērījumi, krāšņu remonts</t>
        </r>
      </text>
    </comment>
    <comment ref="AG301" authorId="4" shapeId="0" xr:uid="{00000000-0006-0000-0300-0000DE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Inventāra iegāde, kanceleja, sakaru tehnika, celtniecības materiāli, u.c. 
Pagastmājas 2.stāva remontdarbu iekonservēšana (remontmateriāli) līdz būvdarbu atsākšanai. 
Ieejas mezgla jumts pagastam.
Bērnudārza ēkas norobežošana iekļūšanai - bērnu drošība (saplāksnis, skrūves).
u.c.</t>
        </r>
      </text>
    </comment>
    <comment ref="F303" authorId="2" shapeId="0" xr:uid="{00000000-0006-0000-0300-0000DF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nebija ĪUN vadītājs</t>
        </r>
      </text>
    </comment>
    <comment ref="S303" authorId="4" shapeId="0" xr:uid="{00000000-0006-0000-0300-0000E0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VW Caravelle, MAN, KIOTI, dārza tehnika, u.c.
</t>
        </r>
      </text>
    </comment>
    <comment ref="AD303" authorId="2" shapeId="0" xr:uid="{00000000-0006-0000-0300-0000E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Pagastmājai statuss "Bīstama". Jāremontē.</t>
        </r>
      </text>
    </comment>
    <comment ref="AE303" authorId="4" shapeId="0" xr:uid="{00000000-0006-0000-0300-0000E2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Koku un parka kopšana (pakalpojums),
Dārza tehnikas remonts
Transportlīdzekļu remonts
Dīķa strūklakas remonts.
Mūra remonts jauniešu centra 
Kapu paplašināšanas projekts
Skursteņu tīrīšana
Biksēres centra asfalta remonts
u.c.</t>
        </r>
      </text>
    </comment>
    <comment ref="AG303" authorId="4" shapeId="0" xr:uid="{00000000-0006-0000-0300-0000E3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IUN remontmateriāli, smērvielas, u.c.
Jauniešu centra piebūves iegruvušā jumta remontmateriāli, sētas vārtu uzstādīšana, kāpņu uzstādīšana, vides pieejamība.
Kalnagravu palīgēkas tualetes remontmateriāli.
Estrādes dzelzs vārtu labošna 2 gab.
u.c.</t>
        </r>
      </text>
    </comment>
    <comment ref="B304" authorId="2" shapeId="0" xr:uid="{00000000-0006-0000-0300-0000E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P304" authorId="1" shapeId="0" xr:uid="{00000000-0006-0000-0300-0000E5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3632 bija gan amatu, gan muzeja ēka. Sadalījām katrai atsevišķi</t>
        </r>
      </text>
    </comment>
    <comment ref="B305" authorId="2" shapeId="0" xr:uid="{00000000-0006-0000-0300-0000E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AG306" authorId="4" shapeId="0" xr:uid="{00000000-0006-0000-0300-0000E7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Dzīvokļa durvis, Aizkuja ceļtekas grīdas remonts, Aizkuja akas tīrīšana</t>
        </r>
      </text>
    </comment>
    <comment ref="I307" authorId="4" shapeId="0" xr:uid="{00000000-0006-0000-0300-0000E8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Bijušās pasta telpas, nedzīvojamā telpa</t>
        </r>
      </text>
    </comment>
    <comment ref="J307" authorId="2" shapeId="0" xr:uid="{00000000-0006-0000-0300-0000E9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Doma ielikt veļas mašīnu maznodrošināto vajadzībām</t>
        </r>
      </text>
    </comment>
    <comment ref="AF307" authorId="2" shapeId="0" xr:uid="{00000000-0006-0000-0300-0000EA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iekārtas sociālajai masgāšanas telpai (gan veļai, gan dušas)</t>
        </r>
      </text>
    </comment>
    <comment ref="F308" authorId="2" shapeId="0" xr:uid="{00000000-0006-0000-0300-0000EB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nebija izdevumu</t>
        </r>
      </text>
    </comment>
    <comment ref="AG309" authorId="4" shapeId="0" xr:uid="{00000000-0006-0000-0300-0000EC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Bojāto logu nomaiņa jauniešu centram</t>
        </r>
      </text>
    </comment>
    <comment ref="AF310" authorId="2" shapeId="0" xr:uid="{00000000-0006-0000-0300-0000ED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Elektrības un sanitārā mezgla sakārtošana</t>
        </r>
      </text>
    </comment>
    <comment ref="AI310" authorId="4" shapeId="0" xr:uid="{00000000-0006-0000-0300-0000EE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Plāns ir periodika + bibliotēku fonds. Izpilde - tikai periodika</t>
        </r>
      </text>
    </comment>
    <comment ref="F311" authorId="1" shapeId="0" xr:uid="{00000000-0006-0000-0300-0000EF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Vadījāmies pēc budžeta izpildes, sakaru pakalpojumos bija maza summa</t>
        </r>
      </text>
    </comment>
    <comment ref="AF311" authorId="2" shapeId="0" xr:uid="{00000000-0006-0000-0300-0000F0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900 EUR plaukti </t>
        </r>
      </text>
    </comment>
    <comment ref="P312" authorId="1" shapeId="0" xr:uid="{00000000-0006-0000-0300-0000F100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Kalnagravā kurina gan ar malku, gan granulām. Prognozē, ka granulu izmaksas sadārdzināsies</t>
        </r>
      </text>
    </comment>
    <comment ref="S312" authorId="4" shapeId="0" xr:uid="{00000000-0006-0000-0300-0000F2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Pašdarbības kolektīvu braucieni, vadītājas patapinājums</t>
        </r>
      </text>
    </comment>
    <comment ref="AE312" authorId="4" shapeId="0" xr:uid="{00000000-0006-0000-0300-0000F3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Vides objekta labiekārtošana (bruģis, elektrība), tehniskās dokumentācijas izstrāde.</t>
        </r>
      </text>
    </comment>
    <comment ref="AE317" authorId="4" shapeId="0" xr:uid="{00000000-0006-0000-0300-0000F4000000}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Sarkaņu vēstis druka</t>
        </r>
      </text>
    </comment>
    <comment ref="H322" authorId="9" shapeId="0" xr:uid="{00000000-0006-0000-0300-0000F5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ja būs centrālā apkure 466 euro x 4 mēneši</t>
        </r>
      </text>
    </comment>
    <comment ref="AD323" authorId="9" shapeId="0" xr:uid="{00000000-0006-0000-0300-0000F6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kopētāja apkope
</t>
        </r>
      </text>
    </comment>
    <comment ref="AD324" authorId="9" shapeId="0" xr:uid="{00000000-0006-0000-0300-0000F7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Vestienas pagasta izdevums</t>
        </r>
      </text>
    </comment>
    <comment ref="H328" authorId="9" shapeId="0" xr:uid="{00000000-0006-0000-0300-0000F8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420 x 4 mēneši
</t>
        </r>
      </text>
    </comment>
    <comment ref="AD328" authorId="9" shapeId="0" xr:uid="{00000000-0006-0000-0300-0000F9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pasākumu organizēšanai</t>
        </r>
      </text>
    </comment>
    <comment ref="B329" authorId="0" shapeId="0" xr:uid="{00000000-0006-0000-0300-0000FA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H332" authorId="9" shapeId="0" xr:uid="{00000000-0006-0000-0300-0000FB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559 x 4 mēneši
</t>
        </r>
      </text>
    </comment>
    <comment ref="AD332" authorId="9" shapeId="0" xr:uid="{00000000-0006-0000-0300-0000FC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par ugunsdr.signalizācijas remonta daļu
</t>
        </r>
      </text>
    </comment>
    <comment ref="AF332" authorId="9" shapeId="0" xr:uid="{00000000-0006-0000-0300-0000FD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gardrobēs jauns linolejs</t>
        </r>
      </text>
    </comment>
    <comment ref="U334" authorId="6" shapeId="0" xr:uid="{00000000-0006-0000-0300-0000FE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1050 internāta bērnu ēdināšana
Pārējais  - pamatskola</t>
        </r>
      </text>
    </comment>
    <comment ref="AF334" authorId="9" shapeId="0" xr:uid="{00000000-0006-0000-0300-0000FF000000}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-Vestienas skolas salidojumam</t>
        </r>
      </text>
    </comment>
    <comment ref="T336" authorId="2" shapeId="0" xr:uid="{00000000-0006-0000-0300-000000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344" authorId="2" shapeId="0" xr:uid="{00000000-0006-0000-0300-000001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vairākiem pagastiem kļūdaini netika ielikti plānā bibliotāku fonda līdzekļi.</t>
        </r>
      </text>
    </comment>
    <comment ref="AL344" authorId="2" shapeId="0" xr:uid="{00000000-0006-0000-0300-000002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sociālajiem pabalstiem tika iedalīti līdzekļi pirmajiem pāris mēnešiem, gada laikā tika veikti vairāki grozījumi. 2020.gadā plānā ielikti līdzekļi uzreiz pus gadam, lai nav tik bieži jāveic budžeta grozījumi.</t>
        </r>
      </text>
    </comment>
    <comment ref="E353" authorId="2" shapeId="0" xr:uid="{00000000-0006-0000-0300-000003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+2,5 likmes apkopēji</t>
        </r>
      </text>
    </comment>
    <comment ref="M353" authorId="6" shapeId="0" xr:uid="{00000000-0006-0000-0300-000004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8640 stadiona apgaismojums 
86400 ventilācijas sistēmas elektrības patēriņš (pašlaik budžetā ielikts 43200)
NEPIECIEŠAMS- telpu elektr.pat. </t>
        </r>
      </text>
    </comment>
    <comment ref="AE353" authorId="0" shapeId="0" xr:uid="{00000000-0006-0000-0300-000005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signalizācija;
ventilācija;
lifta apkopšana;
stadiona uzturēšana</t>
        </r>
      </text>
    </comment>
    <comment ref="AD361" authorId="2" shapeId="0" xr:uid="{00000000-0006-0000-0300-000006010000}">
      <text>
        <r>
          <rPr>
            <sz val="9"/>
            <color indexed="81"/>
            <rFont val="Tahoma"/>
            <family val="2"/>
            <charset val="186"/>
          </rPr>
          <t xml:space="preserve">
3250 transporta izdevumi gatavojoties Dziesmu svētkiem
5403 remontpakalpojumi
1300 īre, noma (skaņu, gaismas aparatūra)</t>
        </r>
      </text>
    </comment>
    <comment ref="AF361" authorId="2" shapeId="0" xr:uid="{00000000-0006-0000-0300-000007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6320 materiāli pulciņiem, inventārs(prožektori, galda spēles, mēbeles, dators…), suvenīri
2000 remontmateriāli
2250 mācību līdzekļi, materiāli pulciņu darbībai (5 EUR uz 1 audzēkni)</t>
        </r>
      </text>
    </comment>
    <comment ref="AD372" authorId="2" shapeId="0" xr:uid="{00000000-0006-0000-0300-000008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15500 filmu noma</t>
        </r>
      </text>
    </comment>
    <comment ref="AE373" authorId="6" shapeId="0" xr:uid="{00000000-0006-0000-0300-000009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1760 EUR no kultūras pasākumiem</t>
        </r>
      </text>
    </comment>
    <comment ref="AF374" authorId="2" shapeId="0" xr:uid="{00000000-0006-0000-0300-00000A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6110 pasākumiem</t>
        </r>
      </text>
    </comment>
    <comment ref="AG374" authorId="6" shapeId="0" xr:uid="{00000000-0006-0000-0300-00000B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4900 eur no kultūras pasākumiem</t>
        </r>
      </text>
    </comment>
    <comment ref="AG388" authorId="0" shapeId="0" xr:uid="{00000000-0006-0000-0300-00000C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Ieskaitot 4300 pūtēju orķestrim</t>
        </r>
      </text>
    </comment>
    <comment ref="V389" authorId="2" shapeId="0" xr:uid="{00000000-0006-0000-0300-00000D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11800 EUR tiks sadalīti pagastiem skolēnu kompensācijām (administrē novads)</t>
        </r>
      </text>
    </comment>
    <comment ref="D398" authorId="2" shapeId="0" xr:uid="{00000000-0006-0000-0300-00000E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80634 - domes priekšsēdētājs un vietnieks</t>
        </r>
      </text>
    </comment>
    <comment ref="AD402" authorId="2" shapeId="0" xr:uid="{00000000-0006-0000-0300-00000F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Madonas novada pašvaldības apbalvojumu ceromonijas organizēšana, SKDS pētījums par pašvaldību</t>
        </r>
      </text>
    </comment>
    <comment ref="AE402" authorId="6" shapeId="0" xr:uid="{00000000-0006-0000-0300-000010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9000 EUR pašvaldības apbalvojumu ceremonijas organizēšana
3000 EUR Neplānotie izdevumi</t>
        </r>
      </text>
    </comment>
    <comment ref="AF402" authorId="2" shapeId="0" xr:uid="{00000000-0006-0000-0300-000011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Suvenīri, dāvanas, prezentācijas materiāli</t>
        </r>
      </text>
    </comment>
    <comment ref="AG402" authorId="6" shapeId="0" xr:uid="{00000000-0006-0000-0300-000012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reprezentācijas izdevumi</t>
        </r>
      </text>
    </comment>
    <comment ref="AD403" authorId="2" shapeId="0" xr:uid="{00000000-0006-0000-0300-000013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27000 EUR laikraksts "Vēstnesis"
15000 EUR TV video sižetu veidošana, montāža, raidlaiks
5000 EUR foto pakalpojumi
3000 EUR Stars
5500 EUR reklāmas avīzēs, baneri, afišas ...</t>
        </r>
      </text>
    </comment>
    <comment ref="AE403" authorId="6" shapeId="0" xr:uid="{00000000-0006-0000-0300-000014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'Vēstnesis" 28500 EUR
'Stars" 4200 EUR
Foto 4800 EUR
publicitāte mēdijos, TV, radio 27000 EUR
liela mēroga pasākumu PR 8000 EUR</t>
        </r>
      </text>
    </comment>
    <comment ref="AE404" authorId="0" shapeId="0" xr:uid="{00000000-0006-0000-0300-000015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80 000 Horizon
7400 mājas lapas, epasti;
2500 servru telpas sakārtošana;
2981 MS office skolām
8000 Namejs
986 Adobe
2460 Fortigate ugunsmūris
750 antivīruss
30 000 optikas noma
Kopējie izdevumi IT paliek pagājušā gada līmenī!!!!! Atņemts 8189 EUR</t>
        </r>
      </text>
    </comment>
    <comment ref="AG404" authorId="0" shapeId="0" xr:uid="{00000000-0006-0000-0300-000016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2500 rezerves daļas datoriem, iekārtas,
1500 instrumenti, vadi (IT) </t>
        </r>
      </text>
    </comment>
    <comment ref="F407" authorId="2" shapeId="0" xr:uid="{00000000-0006-0000-0300-000017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Pasta izdevumi ar jauno gadu 1 EUR par vēstules nosūtīšanu</t>
        </r>
      </text>
    </comment>
    <comment ref="AE407" authorId="0" shapeId="0" xr:uid="{00000000-0006-0000-0300-000018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10000 Bāriņtiesas lietvedības sistēma BARIS</t>
        </r>
      </text>
    </comment>
    <comment ref="AL418" authorId="2" shapeId="0" xr:uid="{00000000-0006-0000-0300-000019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1500 - "Madonas invalīdi" biedrība
EUR 447 - "Pie Kamīna" senioru klubs
EUR 1503 Sarkanais krusts
EUR 1600 Pensionaru biedrība
UR 1500 - Politiski represēto biedrība
EUR 1500 Bēbīšu skola Asniņš
EUR 1300 biedrība Spēkavots</t>
        </r>
      </text>
    </comment>
    <comment ref="AM418" authorId="0" shapeId="0" xr:uid="{00000000-0006-0000-0300-00001A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 EUR politiski represēto biedrība
940 EUR Madonas senioru klubiņš "Pie kamīna"
1520 EUR Madonas pilsētas pensionāru biedrība
1500 EUR Latvijas Sarkanais krusts</t>
        </r>
      </text>
    </comment>
    <comment ref="AD425" authorId="2" shapeId="0" xr:uid="{00000000-0006-0000-0300-00001B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3630 Uzdevumi.lv licences
EUR 880 Letonika.lv licences
EUR 870 Skolutiesibas.lv abonēšana</t>
        </r>
      </text>
    </comment>
    <comment ref="AE425" authorId="6" shapeId="0" xr:uid="{00000000-0006-0000-0300-00001C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4235 uzdevumi.lv
880 letonika.lv
870 skolutiesības.lv</t>
        </r>
      </text>
    </comment>
    <comment ref="AF425" authorId="2" shapeId="0" xr:uid="{00000000-0006-0000-0300-00001D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</t>
        </r>
      </text>
    </comment>
    <comment ref="AH425" authorId="2" shapeId="0" xr:uid="{00000000-0006-0000-0300-00001E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EUR 3630 Uzdevumi.lv licences
EUR 880 Letonika.lv licences
EUR 870 Skolutiesibas.lv abonēšana</t>
        </r>
      </text>
    </comment>
    <comment ref="AK425" authorId="0" shapeId="0" xr:uid="{00000000-0006-0000-0300-00001F01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434" authorId="2" shapeId="0" xr:uid="{00000000-0006-0000-0300-000020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AL445" authorId="2" shapeId="0" xr:uid="{00000000-0006-0000-0300-000021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visam novadam 640000</t>
        </r>
      </text>
    </comment>
    <comment ref="AM445" authorId="6" shapeId="0" xr:uid="{00000000-0006-0000-0300-000022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739 946 sociālie pabalsti (izdalīts pa struktūrv.)
50 000 atbalsts barikāžu dalībnekiem</t>
        </r>
      </text>
    </comment>
    <comment ref="AE450" authorId="2" shapeId="0" xr:uid="{00000000-0006-0000-0300-000023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 attīstības programma+ vides pārskats
3000 GIS licence
1000 AutoCad programma
3000 Go GIS sistēmas uzturēšana</t>
        </r>
      </text>
    </comment>
    <comment ref="I467" authorId="1" shapeId="0" xr:uid="{00000000-0006-0000-0300-000024010000}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Mārciena
148Mh x 61,25
Liezēre 
1000 EUR</t>
        </r>
      </text>
    </comment>
    <comment ref="K467" authorId="6" shapeId="0" xr:uid="{00000000-0006-0000-0300-000025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M467" authorId="6" shapeId="0" xr:uid="{00000000-0006-0000-0300-000026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 2600 EUR
Liezēre 150 EUR</t>
        </r>
      </text>
    </comment>
    <comment ref="O467" authorId="6" shapeId="0" xr:uid="{00000000-0006-0000-0300-00002701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D472" authorId="2" shapeId="0" xr:uid="{00000000-0006-0000-0300-000028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atlīdzība tiek plānota pilniem 12 mēnešiem ievērojot pedagogu algu pieaugumu ar 01.09.2020</t>
        </r>
      </text>
    </comment>
    <comment ref="F472" authorId="2" shapeId="0" xr:uid="{00000000-0006-0000-0300-000029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Optikas kabeļa izmaksas Sarkaņu pagastā; pasta izdemu sadārdzināšanās.</t>
        </r>
      </text>
    </comment>
    <comment ref="H472" authorId="2" shapeId="0" xr:uid="{00000000-0006-0000-0300-00002A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pāriet no kurināmā izdevumiem uz apkures pakalpojuma saņemšanu.</t>
        </r>
      </text>
    </comment>
    <comment ref="P472" authorId="2" shapeId="0" xr:uid="{00000000-0006-0000-0300-00002B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 uz apkures pakalpojumu</t>
        </r>
      </text>
    </comment>
    <comment ref="T472" authorId="2" shapeId="0" xr:uid="{00000000-0006-0000-0300-00002C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budžetā tik paredzēti papildus izdevumi 1.-4.klases skolēnu ēdināšanai</t>
        </r>
      </text>
    </comment>
    <comment ref="AD472" authorId="2" shapeId="0" xr:uid="{00000000-0006-0000-0300-00002D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pie pamatbudžeta klāt nāca mērķdotācija ceļu uzturēšanai, kas būtiski palielina plānu pārējos pakalpojumos</t>
        </r>
      </text>
    </comment>
    <comment ref="AH472" authorId="2" shapeId="0" xr:uid="{00000000-0006-0000-0300-00002E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Vairākiem pagastiem 2019.gada sākumā kļudaini netika iebudžetēti līdzekļi bibliotēku krājumiem</t>
        </r>
      </text>
    </comment>
    <comment ref="AJ472" authorId="2" shapeId="0" xr:uid="{00000000-0006-0000-0300-00002F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Beidzies Smeceres sila attīstības valsts atbalsta projekts -500000 EUR
Šogad netiek plānots līdzfinansējums kredītiem - 486410 EUR</t>
        </r>
      </text>
    </comment>
    <comment ref="AL472" authorId="2" shapeId="0" xr:uid="{00000000-0006-0000-0300-00003001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Par 68000 EUR pieaug izdevumi aprūpei mājās.
Par 10000 vairāk līdzekļi paredzēti sociālajiem pabalstiem
26000 EUR deliģējuma līgums Lubānas mitrāja informācijas centra darbības nodrošināšanai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  <author>User</author>
  </authors>
  <commentList>
    <comment ref="B112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B293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B368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B369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B397" authorId="1" shapeId="0" xr:uid="{00000000-0006-0000-0500-000005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B519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B553" authorId="1" shapeId="0" xr:uid="{00000000-0006-0000-0500-000007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2021. gadā klāt pie pagastiem un Madonas pils.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C3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400000 EUR savstarpējie norēķini par izglītību
7000 EUR savstarpējie norēķini par pansionātiem</t>
        </r>
      </text>
    </comment>
  </commentList>
</comments>
</file>

<file path=xl/sharedStrings.xml><?xml version="1.0" encoding="utf-8"?>
<sst xmlns="http://schemas.openxmlformats.org/spreadsheetml/2006/main" count="6174" uniqueCount="630">
  <si>
    <t>Pielikums Nr.1</t>
  </si>
  <si>
    <t>Madonas novada pašvaldības domes</t>
  </si>
  <si>
    <t>30.01.2020. lēmumam Nr.54</t>
  </si>
  <si>
    <t>MADONAS NOVADA PAŠVALDĪBA</t>
  </si>
  <si>
    <t>(protokols Nr.3, 18.p.)</t>
  </si>
  <si>
    <t xml:space="preserve">2021.gada  pamatbudžeta izdevumi </t>
  </si>
  <si>
    <t>Struktūrvienība</t>
  </si>
  <si>
    <t>Nosaukums (iestāde, pasākums, projekts)</t>
  </si>
  <si>
    <t>Kods</t>
  </si>
  <si>
    <t>Atlīdzība apstiprināts 2020.gadam</t>
  </si>
  <si>
    <t>Atlīdzība pieprasīts 2021.gadam</t>
  </si>
  <si>
    <t>Sakaru pakalpojumi apstiprināts 2020.gadam</t>
  </si>
  <si>
    <t>Sakaru pakalpojumi pieprasīts 2021.gadam</t>
  </si>
  <si>
    <t>Apkure apstiprināts 2020.gadam</t>
  </si>
  <si>
    <t>Apkure pieprasīts 2021.gadam</t>
  </si>
  <si>
    <t>Ūdens un kanalizācija apstiprināts 2020.gadam</t>
  </si>
  <si>
    <t>Ūdens un kanalizācija pieprasīts 2021.gadam</t>
  </si>
  <si>
    <t>Elektroenerģija  apstiprināts 2020.gadam</t>
  </si>
  <si>
    <t>Elektroenerģija  pieprasīts 2021.gadam</t>
  </si>
  <si>
    <t>Atkritumu savākšana, izvešana un utilizēšana apstiprināts 2020.gadam</t>
  </si>
  <si>
    <t>Atkritumu savākšana, izvešana un utilizēšana pieprasīts 2021.gadam</t>
  </si>
  <si>
    <t>Kurināmais  apstiprināts 2020.gadam</t>
  </si>
  <si>
    <t>Kurināmais  pieprasīts 2021.gadam</t>
  </si>
  <si>
    <t>Degviela apstiprināts 2020.gadam</t>
  </si>
  <si>
    <t>Degviela pieprasīts 2021.gadam</t>
  </si>
  <si>
    <t>Ēdināšana apstiprināts 2020.gadam</t>
  </si>
  <si>
    <t>Ēdināšana pieprasīts 2021.gadam</t>
  </si>
  <si>
    <t>Skolēnu pārvadāšana  apstiprināts 2020.gadam</t>
  </si>
  <si>
    <t>Skolēnu pārvadāšana  pieprasīts 2021.gadam</t>
  </si>
  <si>
    <t>Ēku, telpu, aparatūras noma apstiprināts 2020.gadam</t>
  </si>
  <si>
    <t>Ēku, telpu, aparatūras noma pieprasīts 2021.gadam</t>
  </si>
  <si>
    <t>Kopā  apstiprināts 2020.gadam</t>
  </si>
  <si>
    <t>Kopā  pieprasīts 2021.gadam</t>
  </si>
  <si>
    <t>Komandējumi un dienesta braucieni  apstiprināts 2020.gadam</t>
  </si>
  <si>
    <t>Komandējumi un dienesta braucieni  pieprasīts 2021.gadam</t>
  </si>
  <si>
    <t>Pārējie (iepriekš neminētie) pakalpojumi apstiprināts 2020.gadam</t>
  </si>
  <si>
    <t>Pārējie (iepriekš neminētie) pakalpojumi pieprasīts 2021.gadam</t>
  </si>
  <si>
    <t>Pārējie (iepriekš neminētie) materiāli apstiprināts 2020.gadam</t>
  </si>
  <si>
    <t>Pārējie (iepriekš neminētie) materiāli pieprasīts 2021.gadam</t>
  </si>
  <si>
    <t>Grāmatas, laikraksti  apstiprināts 2020.gadam</t>
  </si>
  <si>
    <t>Grāmatas, laikraksti  pieprasīts 2021.gadam</t>
  </si>
  <si>
    <t>Pārējie pamatlīdzekļi, nemateriālie ieguldījumi apstiprināts 2020.gadam</t>
  </si>
  <si>
    <t>Pārējie pamatlīdzekļi, nemateriālie ieguldījumi pieprasīts 2021.gadam</t>
  </si>
  <si>
    <t>Pabalsti, dotācija apstiprināts 2020.gadam</t>
  </si>
  <si>
    <t>Pabalsti, dotācija pieprasīts 2021.gadam</t>
  </si>
  <si>
    <t>Nodokļi/transferti apstiprināts 2020.gadam</t>
  </si>
  <si>
    <t>Nodokļi/transferti pieprasīts 2021.gadam</t>
  </si>
  <si>
    <t>PAVISAM  apstiprināts 2020.gadam</t>
  </si>
  <si>
    <t>PAVISAM  pieprasīts 2021.gadam</t>
  </si>
  <si>
    <t>Atbilstība Attīstības programmas Rīcības plānam</t>
  </si>
  <si>
    <t>2200/2300/6400</t>
  </si>
  <si>
    <t>2400/5200</t>
  </si>
  <si>
    <t>5100/5200</t>
  </si>
  <si>
    <t>3200/6000</t>
  </si>
  <si>
    <t>2500/7200</t>
  </si>
  <si>
    <t>Arona</t>
  </si>
  <si>
    <t>Pagasta pārvalde</t>
  </si>
  <si>
    <t>01.100</t>
  </si>
  <si>
    <t>RV 3.1., U 3.1.1.,R.109</t>
  </si>
  <si>
    <t>Teritoriju uzturēšana</t>
  </si>
  <si>
    <t>06.600</t>
  </si>
  <si>
    <t>R.V 6.4., U.6.4.2., R.296</t>
  </si>
  <si>
    <t>Ceļu un ielu uzturēšana pašvaldības budžets</t>
  </si>
  <si>
    <t>R.V.6.1., U.6.1.1., R.259.</t>
  </si>
  <si>
    <t>Mērķdotācija ceļu fonds</t>
  </si>
  <si>
    <t>Īpašumu uzturēšanas nodaļa</t>
  </si>
  <si>
    <t>Ārsta palīgs</t>
  </si>
  <si>
    <t>07.200</t>
  </si>
  <si>
    <t>RV 5.1., U.5.1.1., R.235</t>
  </si>
  <si>
    <t>Sports</t>
  </si>
  <si>
    <t>08.100</t>
  </si>
  <si>
    <t>RV 4.3., U.4.3.1.R.228</t>
  </si>
  <si>
    <t>Aronas bibliotēka</t>
  </si>
  <si>
    <t>08.200</t>
  </si>
  <si>
    <t>RV 4.2., U.4.2.1., R185.</t>
  </si>
  <si>
    <t>Kusas bibliotēka</t>
  </si>
  <si>
    <t>Viesienas bibliotēka</t>
  </si>
  <si>
    <t>Kultūras nams</t>
  </si>
  <si>
    <t>Multifunkcionālais centrs</t>
  </si>
  <si>
    <t>09.800</t>
  </si>
  <si>
    <t>R.V.4.1., U.4.1.4., R.153.</t>
  </si>
  <si>
    <t>PII Sprīdītis</t>
  </si>
  <si>
    <t>09.100</t>
  </si>
  <si>
    <t>PII pedagogi pašvaldības finansējums</t>
  </si>
  <si>
    <t>Mērķdotācija 5.un 6.g.bērnu apmācībai</t>
  </si>
  <si>
    <t>Pamatskola</t>
  </si>
  <si>
    <t>09.200</t>
  </si>
  <si>
    <t>Pamatskola pedagogi pašvaldības finansējums</t>
  </si>
  <si>
    <t>1.-4.kl.ēdināšana pašvaldības finansējums</t>
  </si>
  <si>
    <t>1.-4.kl.ēdināšana mērķdotācija</t>
  </si>
  <si>
    <t>Darbinieku ēdināšana</t>
  </si>
  <si>
    <t xml:space="preserve">Mērķdotācija pedagogiem </t>
  </si>
  <si>
    <t xml:space="preserve">Mērķdotācija interešu izglītībai </t>
  </si>
  <si>
    <t>09.500</t>
  </si>
  <si>
    <t>R.V.4.1., U.4.1.4., R.151.</t>
  </si>
  <si>
    <t>Skolēnu pārvadājumi - ceļa izdevumu kompensācija</t>
  </si>
  <si>
    <t>09.600</t>
  </si>
  <si>
    <t>Skolēnu pārvadājumi</t>
  </si>
  <si>
    <t>Bāriņtiesa</t>
  </si>
  <si>
    <t>10.400</t>
  </si>
  <si>
    <t>Sociālie pabalsti</t>
  </si>
  <si>
    <t>10.700</t>
  </si>
  <si>
    <t>RV5.2., U.5.2.1.R.247, R.248., R249., R.250.</t>
  </si>
  <si>
    <t>Sociālais darbinieks</t>
  </si>
  <si>
    <t>10.900</t>
  </si>
  <si>
    <t>2% atalgojumi</t>
  </si>
  <si>
    <t>Motivācija</t>
  </si>
  <si>
    <t>&gt;Arona</t>
  </si>
  <si>
    <t>Kopā</t>
  </si>
  <si>
    <t>Barkava</t>
  </si>
  <si>
    <t>Soc. dienests</t>
  </si>
  <si>
    <t>RV5.2., U.5.2.1.R.247, R.248., R.249., R.250.</t>
  </si>
  <si>
    <t>Ģim.ārsts doktorāts</t>
  </si>
  <si>
    <t>Darbs ar jaunatni</t>
  </si>
  <si>
    <t>Barkavas bibl.</t>
  </si>
  <si>
    <t>Stalīdzānu bibl.</t>
  </si>
  <si>
    <t>Apvienotā virtuve</t>
  </si>
  <si>
    <t>Pirmsskolas izglītība</t>
  </si>
  <si>
    <t>Pansionāts</t>
  </si>
  <si>
    <t>10.200</t>
  </si>
  <si>
    <t>Pansionāts piemaksa par nakts darbu un darbu svētku dienās</t>
  </si>
  <si>
    <t>Pansionāts papildus finansējums (aizvietošana)</t>
  </si>
  <si>
    <t>Pansionāts (lifta remonts)</t>
  </si>
  <si>
    <t>&gt;Barkava</t>
  </si>
  <si>
    <t>Bērzaune</t>
  </si>
  <si>
    <t xml:space="preserve">Pagasta pārvalde </t>
  </si>
  <si>
    <t>Bibliotēka</t>
  </si>
  <si>
    <t>PII Vārpiņa</t>
  </si>
  <si>
    <t>RV.4.1., U.4.1.4., R.153.</t>
  </si>
  <si>
    <t>Sociālais dienests</t>
  </si>
  <si>
    <t>Avīze "Bērzaunes Rīts"</t>
  </si>
  <si>
    <t>Feldšerpunkts</t>
  </si>
  <si>
    <t>&gt;Bērzaune</t>
  </si>
  <si>
    <t>Dzelzava</t>
  </si>
  <si>
    <t>Īpašuma uzturēšanas nodaļa</t>
  </si>
  <si>
    <t>1.bibliotēka</t>
  </si>
  <si>
    <t>2.bibliotēka</t>
  </si>
  <si>
    <t>Kult.pasāk.</t>
  </si>
  <si>
    <t>PII Rūķis</t>
  </si>
  <si>
    <t>R..4.1., U.4.1.4., R.153.</t>
  </si>
  <si>
    <t>Rv.4.1., U.4.1.4., R.153.</t>
  </si>
  <si>
    <t>RV5.2., U.5.2.1. R249., R.250.</t>
  </si>
  <si>
    <t>RV5.2., U.5.2.1., R.248.,, R.250.</t>
  </si>
  <si>
    <t>Sporta pasākumi</t>
  </si>
  <si>
    <t>Internātpamatskola (valsts finansējums)</t>
  </si>
  <si>
    <t>Internātpamatskola (pašvaldības  finansējums)</t>
  </si>
  <si>
    <t>Jaunatnes darbinieks</t>
  </si>
  <si>
    <t>Sociālais dien.</t>
  </si>
  <si>
    <t>&gt;Dzelzava</t>
  </si>
  <si>
    <t>Kalsnava</t>
  </si>
  <si>
    <t>Prezentācijas izdevumi</t>
  </si>
  <si>
    <t>Ugunsdrošiba</t>
  </si>
  <si>
    <t>03.600</t>
  </si>
  <si>
    <t>BJIC UP,s</t>
  </si>
  <si>
    <t>PII Lācītis Pūks</t>
  </si>
  <si>
    <t>Kalsnavas informatīvais izdevums</t>
  </si>
  <si>
    <t>08.600</t>
  </si>
  <si>
    <t>Skolēnu pārvadājumi - ceļa izdevumu komp.skolēniem</t>
  </si>
  <si>
    <t xml:space="preserve">Sociālā nodrošināšana - sociālā māja </t>
  </si>
  <si>
    <t>Sociālo pakalpojumu centrs</t>
  </si>
  <si>
    <t>Siltumapgāde</t>
  </si>
  <si>
    <t>RV 6.4., U.6.4.2., R.299</t>
  </si>
  <si>
    <t>Teritorijas uzturēšana</t>
  </si>
  <si>
    <t>RV 6.4., U.6.4.2., R.300</t>
  </si>
  <si>
    <t>Mājokļu attīstība</t>
  </si>
  <si>
    <t>06.100</t>
  </si>
  <si>
    <t>RV 6.4., U.6.4.2., R.301</t>
  </si>
  <si>
    <t>RV 6.4., U.6.4.2., R.296</t>
  </si>
  <si>
    <t xml:space="preserve">Laukumu, parka  apgaismošana </t>
  </si>
  <si>
    <t>Rv.6.1., U.6.1.1., R.259.</t>
  </si>
  <si>
    <t>Kapu apsaimniekošana</t>
  </si>
  <si>
    <t>RV.6.1., U.6.1.1., R.259.</t>
  </si>
  <si>
    <t>Pārējā vides aizsardzība</t>
  </si>
  <si>
    <t>05.300</t>
  </si>
  <si>
    <t>&gt;Kalsnava</t>
  </si>
  <si>
    <t>Lazdona</t>
  </si>
  <si>
    <t>Dzīv.fonda remonts, uzturēšana</t>
  </si>
  <si>
    <t>R.V 6.4., U.6.4.2., R.297</t>
  </si>
  <si>
    <t>Koplietošanas teritoriju labiekārtošana</t>
  </si>
  <si>
    <t>Lazdonas FVP</t>
  </si>
  <si>
    <t>Kultūra</t>
  </si>
  <si>
    <t>PI grupas</t>
  </si>
  <si>
    <t>Multifunkcionālais bērnu un jauniešu centrs</t>
  </si>
  <si>
    <t>Soc.darbinieks</t>
  </si>
  <si>
    <t>&gt;Lazdona</t>
  </si>
  <si>
    <t>Ļaudona</t>
  </si>
  <si>
    <t>RV 6.4., U.6.4.2., R.297</t>
  </si>
  <si>
    <t>Ļaudonas biblioteka</t>
  </si>
  <si>
    <t>Sāvienas biblioteka</t>
  </si>
  <si>
    <t>Bērnu un jauniešu iniciatīvu centrs</t>
  </si>
  <si>
    <t>PII Brīnumdārzs</t>
  </si>
  <si>
    <t>Vidusskola</t>
  </si>
  <si>
    <t>Pedagogi pašvaldības finansējums</t>
  </si>
  <si>
    <t>RV5.2., U.5.2.1.</t>
  </si>
  <si>
    <t>Apvienotā virtuve, darbs svētku dienās</t>
  </si>
  <si>
    <t>Pārējie kultūras pasākumi (avīze)</t>
  </si>
  <si>
    <t>Mērķdotācija interešu izglītībai (PII)</t>
  </si>
  <si>
    <t>Nodarbinātība</t>
  </si>
  <si>
    <t>04.100</t>
  </si>
  <si>
    <t>Īpašumu uzturēšana, koplietošanas teritoriju uzturēšana, mežu apsaimniekošana</t>
  </si>
  <si>
    <t>&gt;Ļaudona</t>
  </si>
  <si>
    <t>Liezēre</t>
  </si>
  <si>
    <t>Ozolu medpunkts</t>
  </si>
  <si>
    <t>Liezēres bibliotēka</t>
  </si>
  <si>
    <t>Mēdzūlas bibliotēka</t>
  </si>
  <si>
    <t>Informatīvais izdev. "Liezēre vakar, šodien, rīt"</t>
  </si>
  <si>
    <t xml:space="preserve">PI grupas pedagogi pašvaldības finansējums </t>
  </si>
  <si>
    <t>Internāta bērnu ēdināšana ( gads)</t>
  </si>
  <si>
    <t>Skolēnu pārvadājumi - autobuss</t>
  </si>
  <si>
    <t>Skolēnu pārvadājumi - skolēnu ceļa izdevumu kompensācija</t>
  </si>
  <si>
    <t>pārējā soc.palīdzība</t>
  </si>
  <si>
    <t>BJĀAC Ozoli</t>
  </si>
  <si>
    <t>R.V4.1., U.4.1.4., R.153.</t>
  </si>
  <si>
    <t>&gt;Liezēre</t>
  </si>
  <si>
    <t>Mārciena</t>
  </si>
  <si>
    <t>Pansionāta darbinieku ēdināšana</t>
  </si>
  <si>
    <t>Īpašumu uzturēšanas nodaļa piemaksa par nakts darbu un darbu svētku dienās</t>
  </si>
  <si>
    <t>Mājokļu apsaimn.</t>
  </si>
  <si>
    <t>Nedz. fonds (skola)</t>
  </si>
  <si>
    <t>ZG un īpašumu uzmērīšana</t>
  </si>
  <si>
    <t>06.200</t>
  </si>
  <si>
    <t>RV 6.4., U.6.4.2., R.298</t>
  </si>
  <si>
    <t>Doktorāts</t>
  </si>
  <si>
    <t>Pārējā kultūra (avīze)</t>
  </si>
  <si>
    <t>Sociālais darbs</t>
  </si>
  <si>
    <t>Pārējā sociālā palīdzība (nodaļa covid klientiem)</t>
  </si>
  <si>
    <t>&gt;Mārciena</t>
  </si>
  <si>
    <t>Mētriena</t>
  </si>
  <si>
    <t>Nedzīvojamā fonda remonts un uzturēšana</t>
  </si>
  <si>
    <t>Īpašuma uzturēšanas nod.</t>
  </si>
  <si>
    <t>&gt;Mētriena</t>
  </si>
  <si>
    <t>Ošupe</t>
  </si>
  <si>
    <t>Krievbirzes kapi</t>
  </si>
  <si>
    <t>Sporta pas.</t>
  </si>
  <si>
    <t>AA centrs</t>
  </si>
  <si>
    <t>Jauniešu centrs</t>
  </si>
  <si>
    <t>Liepsalas</t>
  </si>
  <si>
    <t xml:space="preserve">Kultūras pasākumi </t>
  </si>
  <si>
    <t xml:space="preserve">PI grupas </t>
  </si>
  <si>
    <t>Soc. darbin.</t>
  </si>
  <si>
    <t>&gt;Ošupe</t>
  </si>
  <si>
    <t>Prauliena</t>
  </si>
  <si>
    <t>Praulienas bibliotēka</t>
  </si>
  <si>
    <t>Saikavas bibliotēka</t>
  </si>
  <si>
    <t>"Dzintari" uzturēšana</t>
  </si>
  <si>
    <t>PII Pasaciņa</t>
  </si>
  <si>
    <t>Sociālās aprūpes māja</t>
  </si>
  <si>
    <t>Mērķdotācija interešu izglītībai (skola)</t>
  </si>
  <si>
    <t>&gt;Prauliena</t>
  </si>
  <si>
    <t>Sarkaņi</t>
  </si>
  <si>
    <t xml:space="preserve"> Īpašumu uzturēšanas nodaļa</t>
  </si>
  <si>
    <t>Amatu skola</t>
  </si>
  <si>
    <t>Muzeja ēka</t>
  </si>
  <si>
    <t>Dzīvojamā fonda remonts, uzturēšana</t>
  </si>
  <si>
    <t>Sporta pasākumu organizators</t>
  </si>
  <si>
    <t>Multifunkcionālais centrs Logs (jauniešu centrs)</t>
  </si>
  <si>
    <t>Sarkaņu bibliotēka</t>
  </si>
  <si>
    <t>Biksēres bibliotēka</t>
  </si>
  <si>
    <t>Sarkaņu pagasta tautas nams "Kalnagravas"</t>
  </si>
  <si>
    <t>Kultūras pasākumi</t>
  </si>
  <si>
    <t>Sociālās palīdzības dienests, aprūpētāji</t>
  </si>
  <si>
    <t>Pārējie (avīze)</t>
  </si>
  <si>
    <t xml:space="preserve">Īpašumu apdrošināšana </t>
  </si>
  <si>
    <t>&gt;Sarkaņi</t>
  </si>
  <si>
    <t>Vestiena</t>
  </si>
  <si>
    <t xml:space="preserve">Vietējā avīze </t>
  </si>
  <si>
    <t>Vestienas feldšerpunkts</t>
  </si>
  <si>
    <t>Ugunsdrošība</t>
  </si>
  <si>
    <t>03.200</t>
  </si>
  <si>
    <t>&gt;Vestiena</t>
  </si>
  <si>
    <t>Kopā pārvaldes</t>
  </si>
  <si>
    <t>Madona</t>
  </si>
  <si>
    <t>PII "Kastanītis"</t>
  </si>
  <si>
    <t>PII "Kastanītis"  pedagogi (pašvaldība)</t>
  </si>
  <si>
    <t>PII "Kastanītis" mērķdotācija 5.un 6.g.bērnu apmācībai</t>
  </si>
  <si>
    <t>PII "Kastanītis" interešu izglītība MD</t>
  </si>
  <si>
    <t xml:space="preserve">PII "Priedīte" </t>
  </si>
  <si>
    <t>PII "Priedīte"  pedagogi (pašvaldība)</t>
  </si>
  <si>
    <t>PII "Priedīte"  mērķdotācija 5.un 6.g.bērnu apmācībai</t>
  </si>
  <si>
    <t>PII "Priedīte" interešu izglītība (valsts finansējums)</t>
  </si>
  <si>
    <t xml:space="preserve">PII "Saulīte" </t>
  </si>
  <si>
    <t>PII "Saulīte"  pedagogi (pašvaldība)</t>
  </si>
  <si>
    <t>PII "Saulīte" mērķdotācija 5.un 6.g.bērnu apmācībai</t>
  </si>
  <si>
    <t>PII "Saulīte" interešu izglītība MD</t>
  </si>
  <si>
    <t>Madonas Valsts ģimnāzija</t>
  </si>
  <si>
    <t>Pedagogu atalgojums pašvaldības finansējums</t>
  </si>
  <si>
    <t>Pedagogu atalgojums (MD vispārējā izglītība)</t>
  </si>
  <si>
    <t>Pedagogu atalgojums (MD interešu izglītība)</t>
  </si>
  <si>
    <t>Madonas pilsētas vidusskola</t>
  </si>
  <si>
    <t>MPV Pedagogu atalgojums pašvaldības finansējums</t>
  </si>
  <si>
    <t>MPV Pedagogu atalgojums (MD vispārējā izglītība)</t>
  </si>
  <si>
    <t>MPV Pedagogu atalgojums (MD interešu izglītība)</t>
  </si>
  <si>
    <t>BJC</t>
  </si>
  <si>
    <t>BJC pedagogi (pašvaldība)</t>
  </si>
  <si>
    <t>BJC pedagogi (valsts finansējums)</t>
  </si>
  <si>
    <t xml:space="preserve">BJSS </t>
  </si>
  <si>
    <t>BJSS  pedagogi (pašvaldība)</t>
  </si>
  <si>
    <t>BJSS pedagogi (valsts finansējums)</t>
  </si>
  <si>
    <t>Sporta centrs</t>
  </si>
  <si>
    <t xml:space="preserve">J. Norviļa Madonas mūzikas skola </t>
  </si>
  <si>
    <t>Mūzikas skolas pedagogu atalgojums (pašvaldība)</t>
  </si>
  <si>
    <t>Mūzikas skolas pedagogu atalgojums (valsts finansējums)</t>
  </si>
  <si>
    <t>Mākslas skola</t>
  </si>
  <si>
    <t>Mākslas skola pedagogi (pašvaldība)</t>
  </si>
  <si>
    <t>Mākslas skola pedagogi (valsts finansējums)</t>
  </si>
  <si>
    <t>Pašdarbības kolektīvi pašvaldības finansējums</t>
  </si>
  <si>
    <t xml:space="preserve">Pašdarbības kolektīvi (valsts finansējums) </t>
  </si>
  <si>
    <t>Kinoteātris Vidzeme</t>
  </si>
  <si>
    <t>Muzejs</t>
  </si>
  <si>
    <t>H. Medņa kultūrizglītības centrs "Dziesmu svēku skola"</t>
  </si>
  <si>
    <t>Lazdonas pareizticīgo draudze</t>
  </si>
  <si>
    <t>08.400</t>
  </si>
  <si>
    <t>Madonas ev.lut.draudze</t>
  </si>
  <si>
    <t>Nedzīvojamais fonds</t>
  </si>
  <si>
    <t>R.V 6.4., U.6.4.2., R.296.</t>
  </si>
  <si>
    <t xml:space="preserve">Dzīvojamā fonda remonts un uzturēšana </t>
  </si>
  <si>
    <t>Bezsaimnieka dzīvnieku izmitināšana</t>
  </si>
  <si>
    <t>Neprivatizēto dzīvokļu apsaimniekošana</t>
  </si>
  <si>
    <t>Meža apsaimniekošanas darbi</t>
  </si>
  <si>
    <t>R.V 7.2., U.7.2.4., R.335.</t>
  </si>
  <si>
    <t>Līdzfinansējums sabiedriskās tualetes uzturēšanai</t>
  </si>
  <si>
    <t>Tirgus</t>
  </si>
  <si>
    <t>Sporta pasākumi (pilsēta - Sporta skola)</t>
  </si>
  <si>
    <t>Sporta būvju un āra laukumu uzturēšana</t>
  </si>
  <si>
    <t>Kultūras pasākumi (pilsēta)</t>
  </si>
  <si>
    <t>Ēdināšanas dienests</t>
  </si>
  <si>
    <t>Ēdināšanas dienests 1.-4.kl. ēdināšana pašvaldības finansējums</t>
  </si>
  <si>
    <t>Ēdināšanas dienests 1.-4.kl. ēdināšana mērķdotācija</t>
  </si>
  <si>
    <t>Ēdināšanas dienests bufete, darbinieki</t>
  </si>
  <si>
    <t>Ēdināšana Skolas ielā   1.-4.kl.pašvaldības finansējums</t>
  </si>
  <si>
    <t>Ēdināšana Skolas ielā   1.-4.kl.mērķdotācija</t>
  </si>
  <si>
    <t>&gt;Madona</t>
  </si>
  <si>
    <t>Novads Adm.</t>
  </si>
  <si>
    <t>Dome</t>
  </si>
  <si>
    <t>Deputāti</t>
  </si>
  <si>
    <t>Dzimtsarakstu nodaļa</t>
  </si>
  <si>
    <t>Pabalsti bijušajiem priekšsēdētājiem</t>
  </si>
  <si>
    <t>Sadarbība</t>
  </si>
  <si>
    <t xml:space="preserve">Sabiedriskās attiecības </t>
  </si>
  <si>
    <t>Mediji, publicitāte, laikraksts "Vēstnesis"</t>
  </si>
  <si>
    <t>RV 3.1., U 3.1.1.,R.110</t>
  </si>
  <si>
    <t>IT nodaļa</t>
  </si>
  <si>
    <t>RV 3.1., U 3.1.1.,R.109.</t>
  </si>
  <si>
    <t>Vēlēšanu nodrošinājums</t>
  </si>
  <si>
    <t>Videonovērošanas sistēmas uzturēšana</t>
  </si>
  <si>
    <t>Kārtībnieki</t>
  </si>
  <si>
    <t>PVN</t>
  </si>
  <si>
    <t>Nekustamo īpašumu uzmērīšana, Zemes grāmata</t>
  </si>
  <si>
    <t>Sporta pasākumi (novads)</t>
  </si>
  <si>
    <t>Kultūras pasākumi (novads)</t>
  </si>
  <si>
    <t>Jaunatnes un ģimenes politika</t>
  </si>
  <si>
    <t>Skolēnu Dziesmu svētki</t>
  </si>
  <si>
    <t>Zemes iegāde stadionam</t>
  </si>
  <si>
    <t>Skeitparka konstrukciju izgatavošana, uzstādīšana</t>
  </si>
  <si>
    <t>Atbalsts nevalstiskajām organizācijām projektu konkurss</t>
  </si>
  <si>
    <t xml:space="preserve">Atbalsts  nevalstiskajām organizācijām </t>
  </si>
  <si>
    <t xml:space="preserve">Biedrības "Mēs saviem bērniem"  </t>
  </si>
  <si>
    <t xml:space="preserve">Biedrība "Bērnu un jauniešu apvienība "Rīts"' </t>
  </si>
  <si>
    <t>Bibliotēku informācijas sistēma "Alise"</t>
  </si>
  <si>
    <t>Izglītības pasākumi</t>
  </si>
  <si>
    <t>Citi izglītības pasākumi un projekti</t>
  </si>
  <si>
    <t>Jauniešu pasākumi</t>
  </si>
  <si>
    <t>Mērķdotācija literatūrai/ mācību līdzekļiem</t>
  </si>
  <si>
    <t>Mācību līdzekļi/literatūra pašvaldības budžets</t>
  </si>
  <si>
    <t>Profesionālo iemaņu apmācība 10.-12.kl. skolēniem</t>
  </si>
  <si>
    <t>Līdzfinansējums nometņu organizēšanai (konkurss)</t>
  </si>
  <si>
    <t xml:space="preserve">Barkavas profesionālā vidusskola </t>
  </si>
  <si>
    <t>R.V.4.1., U.4.1.3., R.151</t>
  </si>
  <si>
    <t>Kristiāna Dāvida pamatskola</t>
  </si>
  <si>
    <t>R.V.4.1., U.4.1.3., R.152</t>
  </si>
  <si>
    <t>Kristiāna Dāvida pamatskola 1.-4.kl. ēdināšana pašvaldības finansējums</t>
  </si>
  <si>
    <t>R.V.4.1., U.4.1.3., R.153</t>
  </si>
  <si>
    <t>Kristiāna Dāvida pamatskola 1.-4.kl. ēdināšana mērķdotācija</t>
  </si>
  <si>
    <t>R.V.4.1., U.4.1.3., R.154</t>
  </si>
  <si>
    <t>Rezidentūras studijas medicīnā</t>
  </si>
  <si>
    <t>R.V.4.1., U.4.1.3., R.155</t>
  </si>
  <si>
    <t>Klavieru skaņošana novadā</t>
  </si>
  <si>
    <t xml:space="preserve">GPS sistēmas servera abonēšana </t>
  </si>
  <si>
    <t>Biedrība "Pie Kraujas"</t>
  </si>
  <si>
    <t>04.700</t>
  </si>
  <si>
    <t>Citu novadu izglītības iestāžu pakalpojumi</t>
  </si>
  <si>
    <t>Citu novadu soc.palīdz. iestāžu pakalpojumi (pansionāti)</t>
  </si>
  <si>
    <t xml:space="preserve">Asistenti </t>
  </si>
  <si>
    <t xml:space="preserve">Sociālā ēka (Parka iela 6) </t>
  </si>
  <si>
    <t>Aprūpes mājās pakalpojumi</t>
  </si>
  <si>
    <t>Pakalpojumi bērniem ar FT</t>
  </si>
  <si>
    <t>"Baltā ūdensroze" Diakonijas centrs</t>
  </si>
  <si>
    <t>Krīzes centrs</t>
  </si>
  <si>
    <t>Humānās palīdz.  kravas</t>
  </si>
  <si>
    <t>Veselības aprūpe (zobārstniecības kabinets)</t>
  </si>
  <si>
    <t>SAB "Smeceres sils"</t>
  </si>
  <si>
    <t>Projektēšana</t>
  </si>
  <si>
    <t>Nekustamā īpašuma  "Lejas Ruļļi" iegāde</t>
  </si>
  <si>
    <t>Teritorijas plānošana</t>
  </si>
  <si>
    <t>Projektu ieviešanas nodaļa</t>
  </si>
  <si>
    <t>Kanalizācijas sistēmas reģistra uzturēšana</t>
  </si>
  <si>
    <t>RV 6.2. U.6.2.1., R.276</t>
  </si>
  <si>
    <t xml:space="preserve">Algotie pagaidu sabiedriskie darbi </t>
  </si>
  <si>
    <t>Atbalsts lauksaimn.konsultantiem</t>
  </si>
  <si>
    <t>04.200</t>
  </si>
  <si>
    <t>Aizņēmumu  %  samaksa</t>
  </si>
  <si>
    <t>01.700</t>
  </si>
  <si>
    <t>Aizņēmumu  pamatsummu atmaksa</t>
  </si>
  <si>
    <t>Finansēšana</t>
  </si>
  <si>
    <t>Aizņēmumu apkalpošanas izdevumi</t>
  </si>
  <si>
    <t>BO VAS CSDD</t>
  </si>
  <si>
    <t>Uzņēmējdarbības atbalsts</t>
  </si>
  <si>
    <t>04.900</t>
  </si>
  <si>
    <t>Tūrisms</t>
  </si>
  <si>
    <t>Pilsētvides attīstība (ainavu arhitekts)</t>
  </si>
  <si>
    <t>Latvijas puķu draugu saiets</t>
  </si>
  <si>
    <t>Baznīcu izgaismošana</t>
  </si>
  <si>
    <t>Rezerve audzēkņu ēdināšanai II pusgadā</t>
  </si>
  <si>
    <t>Rezerve pedagogu atlīdzībai pašvaldības budžets</t>
  </si>
  <si>
    <t>Īpašumu apdrošināšana</t>
  </si>
  <si>
    <t>COVID-19 izdevumi</t>
  </si>
  <si>
    <t>Motivācija pedagogiem (viss novads)</t>
  </si>
  <si>
    <t>&gt;Novads Adm.</t>
  </si>
  <si>
    <t>KOPĀ  NOVADS</t>
  </si>
  <si>
    <t>Pielikums Nr.2</t>
  </si>
  <si>
    <t>MADONAS  NOVADA  PAŠVALDĪBA</t>
  </si>
  <si>
    <t xml:space="preserve">2021.gada pamatbudžeta ieņēmumi  </t>
  </si>
  <si>
    <t>(euro)</t>
  </si>
  <si>
    <t>Nosaukums</t>
  </si>
  <si>
    <t>Madona (novads)</t>
  </si>
  <si>
    <t>Madona (pilsēta)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</si>
  <si>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</si>
  <si>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</si>
  <si>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</si>
  <si>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</si>
  <si>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</si>
  <si>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</si>
  <si>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</si>
  <si>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</si>
  <si>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</si>
  <si>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</si>
  <si>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</si>
  <si>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</si>
  <si>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Sarkaņu pagasta pārvalde</t>
  </si>
  <si>
    <t>Vestienas pagasta pārvalde</t>
  </si>
  <si>
    <t>Nekustamā īpašuma nodoklis</t>
  </si>
  <si>
    <t>05.400</t>
  </si>
  <si>
    <t>Azartspēļu nodoklis</t>
  </si>
  <si>
    <t>Procentu ieņēmumi</t>
  </si>
  <si>
    <t>09.400</t>
  </si>
  <si>
    <t>Valsts nodevas</t>
  </si>
  <si>
    <t>Pašvaldību nodevas</t>
  </si>
  <si>
    <t>10.100</t>
  </si>
  <si>
    <t>Naudas sodi</t>
  </si>
  <si>
    <t>12.200</t>
  </si>
  <si>
    <t>Pārējie nenodokļu ieņēmumi</t>
  </si>
  <si>
    <t>21.300</t>
  </si>
  <si>
    <t>Maksas pakalpojumi un citi pašu ieņēmumi</t>
  </si>
  <si>
    <t>01.112</t>
  </si>
  <si>
    <t>Iedzīvotāju ienākuma nodoklis</t>
  </si>
  <si>
    <t>18.620</t>
  </si>
  <si>
    <t>Pašvaldību budžetā saņemtie valsts budžeta transferti mūzikas skolai</t>
  </si>
  <si>
    <t>Pašvaldību budžetā saņemtie valsts budžeta transferti mākslas skolai</t>
  </si>
  <si>
    <t>Pašvaldību budžetā saņemtie valsts budžeta transferti  BJSS</t>
  </si>
  <si>
    <t>Pašvaldību budžetā saņemtie valsts budžeta transferti Dzelzavas internātskola</t>
  </si>
  <si>
    <t>Transferti māksliniecisko kolektīvu vadītāju atalgojumiem</t>
  </si>
  <si>
    <t>Transferti algoto pagaidu sabiedrisko darbu apmaksai</t>
  </si>
  <si>
    <t>Transferti mācību līdzekļiem un grāmatām</t>
  </si>
  <si>
    <t xml:space="preserve">Transferti asistentiem </t>
  </si>
  <si>
    <t>Ceļu fonds</t>
  </si>
  <si>
    <t>Transferti 1.-4.klases ēdināšanai</t>
  </si>
  <si>
    <t>18.641</t>
  </si>
  <si>
    <t>Dotācija no PFIF</t>
  </si>
  <si>
    <t>Transferi izglītības funkcijas nodrošināšanai no valsts dotāciju un mērķdotāciju sadales (pamata un vispārējā vidējā izglītība) 6.pielik.</t>
  </si>
  <si>
    <t>Transferti izglītības funkcijas nodrošināšanai no valsts dotāciju un mērķdotāciju sadales (bērnu no 5 gadu vecuma izglītošana)</t>
  </si>
  <si>
    <t>Transferti     izglītības funkcijas nodrošināšanai no valsts dotāciju un mērķdotāciju sadales (interešu izglītība)</t>
  </si>
  <si>
    <t>LM Garīgie traucējumi</t>
  </si>
  <si>
    <t>Attīstības programma</t>
  </si>
  <si>
    <t>Transferti primārās veselības aprūpes pakalpojumu apmaksai</t>
  </si>
  <si>
    <t>19.200</t>
  </si>
  <si>
    <t xml:space="preserve">Ieņēmumi pašvaldības budžetā no citām pašvaldībām </t>
  </si>
  <si>
    <t>19.300</t>
  </si>
  <si>
    <t>Pašvaldības un tās iestāžu savstarpējie transferti</t>
  </si>
  <si>
    <t xml:space="preserve">Kopā ieņēmumi  </t>
  </si>
  <si>
    <t>Pielikums Nr.3</t>
  </si>
  <si>
    <t>Madonas novada pašvaldības pamatbudžets</t>
  </si>
  <si>
    <t>Pozīcijas nosaukums</t>
  </si>
  <si>
    <t>2020.gada plāns</t>
  </si>
  <si>
    <t>2021. gada plāns</t>
  </si>
  <si>
    <t>IEŅĒMUMI UN GADA SĀKUMA ATLIKUMS KOPĀ</t>
  </si>
  <si>
    <t>Naudas līdzekļu atlikums uz gada sākumu</t>
  </si>
  <si>
    <t>starpība</t>
  </si>
  <si>
    <t>KĀRTĒJIE GADA IEŅĒMUMI</t>
  </si>
  <si>
    <t>Nodokļu ieņēmumi</t>
  </si>
  <si>
    <t>1.1.0.0.</t>
  </si>
  <si>
    <t>4.1.0.0.</t>
  </si>
  <si>
    <t>5.4.1.0.</t>
  </si>
  <si>
    <t>8.6.2.0.</t>
  </si>
  <si>
    <t>Procentu ieņēmumi par kontu atlikumiem</t>
  </si>
  <si>
    <t>nenod.ieņ.</t>
  </si>
  <si>
    <t>9.0.0.0.</t>
  </si>
  <si>
    <t>Valsts (pašvaldību) un kancelejas nodevas</t>
  </si>
  <si>
    <t>10.0.0.0.</t>
  </si>
  <si>
    <t>Naudas sodi un sankcijas</t>
  </si>
  <si>
    <t>12.0.0.0.</t>
  </si>
  <si>
    <t xml:space="preserve">Pārējie nenodokļu ieņēmumi  </t>
  </si>
  <si>
    <t>13.0.0.0.</t>
  </si>
  <si>
    <t>0</t>
  </si>
  <si>
    <t>Ieņēmumi no pašvaldības īpašumu pārdošanas</t>
  </si>
  <si>
    <t>18.0.0.0.</t>
  </si>
  <si>
    <t>Valsts budžeta transferti</t>
  </si>
  <si>
    <t>18.6.4.0.</t>
  </si>
  <si>
    <t>Pašvaldības budžetā saņemtā dotācija no pašvaldību finanšu izlīdzināšanas fonda</t>
  </si>
  <si>
    <t>18.6.2.0.</t>
  </si>
  <si>
    <t>Pašvaldības saņemtie valsts budžeta transferti noteiktam mērķim</t>
  </si>
  <si>
    <t>19.0.0.0.</t>
  </si>
  <si>
    <t>Pašvaldību budžeta transferti</t>
  </si>
  <si>
    <t>21.0.0.0.</t>
  </si>
  <si>
    <t>Budžeta iestāžu ieņēmumi</t>
  </si>
  <si>
    <t>KĀRTĒJIE  GADA  IZDEVUMI</t>
  </si>
  <si>
    <t>01.000</t>
  </si>
  <si>
    <t>Vispārējie valdības dienesti</t>
  </si>
  <si>
    <t>Izpildvara, likumdošanas vara, finanšu un fiskālā darbība, ārlietas</t>
  </si>
  <si>
    <t>01.600</t>
  </si>
  <si>
    <t>Pārējie iepriekš neklasificētie vispārējie valdības dienesti (vēlēšanas)</t>
  </si>
  <si>
    <t>Vispārējās valdības sektora (valsts un pašvaldības) parāda darījumi</t>
  </si>
  <si>
    <t>01.800</t>
  </si>
  <si>
    <t>Vispārēja rakstura transferti starp valsts pārvaldes dažādiem līmeņiem</t>
  </si>
  <si>
    <t>03.000</t>
  </si>
  <si>
    <t>Sabiedriskā kārtība un drošība</t>
  </si>
  <si>
    <t>03.100</t>
  </si>
  <si>
    <t>Pašvaldības policija</t>
  </si>
  <si>
    <t>Ugunsdrošības, glābšanas un civilās drošības dieneti</t>
  </si>
  <si>
    <t>Pārējie iepriekš neklasificētie sabiedriskās kārtības un drošības pakalpojumi</t>
  </si>
  <si>
    <t>04.000</t>
  </si>
  <si>
    <t>Ekonomiskā darbība</t>
  </si>
  <si>
    <t>Vispārēja ekonomiska, komerciāla un nodarbinātības darbība</t>
  </si>
  <si>
    <t>Lauksaimniecība, mežsaimniecība, zivsaimniecība un medniecība</t>
  </si>
  <si>
    <t xml:space="preserve">       Tūrisms</t>
  </si>
  <si>
    <t>Pārējā citur neklasificēta ekonomiskā darbība</t>
  </si>
  <si>
    <t>05.000</t>
  </si>
  <si>
    <t>Vides aizsardzība</t>
  </si>
  <si>
    <t>05.100</t>
  </si>
  <si>
    <t xml:space="preserve">         Atkritumu apsaimniekošana</t>
  </si>
  <si>
    <t>05.200</t>
  </si>
  <si>
    <t xml:space="preserve">         Notekūdeņu apsaimniekošana</t>
  </si>
  <si>
    <t xml:space="preserve">         Vides piesārņojuma novēršana un samazināšana</t>
  </si>
  <si>
    <t>05.600</t>
  </si>
  <si>
    <t>06.000</t>
  </si>
  <si>
    <t>Teritoriju un mājokļu apsaimniekošana</t>
  </si>
  <si>
    <t xml:space="preserve">         Mājokļu attīstība</t>
  </si>
  <si>
    <t xml:space="preserve">         Teritoriju attīstība</t>
  </si>
  <si>
    <t xml:space="preserve">         Pārējā citur neklasificētā pašvaldību teritoriju un mājokļu apsaimniekošanas darbība</t>
  </si>
  <si>
    <t>07.000</t>
  </si>
  <si>
    <t>Veselība</t>
  </si>
  <si>
    <t xml:space="preserve">          Ambulatoro ārstniecības iestāžu darbība un pakalpojumi</t>
  </si>
  <si>
    <t>08.000</t>
  </si>
  <si>
    <t>Atpūta, kultūra un reliģija</t>
  </si>
  <si>
    <t xml:space="preserve">         Atpūtas un sporta pasākumi</t>
  </si>
  <si>
    <t xml:space="preserve">         Kultūra</t>
  </si>
  <si>
    <t xml:space="preserve">         Reliģisko organizāciju un citu biedrību un nodibinājumu pakalpojumi</t>
  </si>
  <si>
    <t xml:space="preserve">       Pārējie citur neklasificētie sporta, atpūtas, kultūras un reliģijas pakalpojumi</t>
  </si>
  <si>
    <t>09.000</t>
  </si>
  <si>
    <t>Izglītība</t>
  </si>
  <si>
    <t xml:space="preserve">         Pirmsskolas izglītība</t>
  </si>
  <si>
    <t xml:space="preserve">         Vispārējā izglītība</t>
  </si>
  <si>
    <t xml:space="preserve">         Interešu un profesionālās ievirzes izglītība</t>
  </si>
  <si>
    <t xml:space="preserve">         Izglītības papildu izdevumi</t>
  </si>
  <si>
    <t xml:space="preserve">         Pārējā citur neklasificētā izglītība</t>
  </si>
  <si>
    <t>10.000</t>
  </si>
  <si>
    <t>Sociālā aizsardzība</t>
  </si>
  <si>
    <t xml:space="preserve">         Atbalsts gados veciem cilvēkiem</t>
  </si>
  <si>
    <t xml:space="preserve">         Atbalsts ģimenēm ar bērniem</t>
  </si>
  <si>
    <t xml:space="preserve">         Pārējais citur neklasificēts atbalsts sociāli atstumtām personām</t>
  </si>
  <si>
    <t xml:space="preserve">         Pārējā citur neklasificētā sociālā aizsardzība</t>
  </si>
  <si>
    <t xml:space="preserve">         Aizņēmumi ( -) un to atmaksa ( + )</t>
  </si>
  <si>
    <t>Izdevumi kopā ar finansēšanu</t>
  </si>
  <si>
    <t>Naudas līdzekļu atlikums perioda beigās</t>
  </si>
  <si>
    <t>Izdevumu pieaugums/samazinājums</t>
  </si>
  <si>
    <t>Atalgojuma izmaiņas</t>
  </si>
  <si>
    <t>Izdevumu izmaiņas bez atalgojuma</t>
  </si>
  <si>
    <t>Sociālās palīdzības dienests</t>
  </si>
  <si>
    <t>IZDEVUMI (ar mērķdotācijām)</t>
  </si>
  <si>
    <t>IZDEVUMI (bez mērķdotācijām, ceļu fonda (arī pašv.fin.), algām)</t>
  </si>
  <si>
    <t>Pieaugums EUR</t>
  </si>
  <si>
    <t>Procentuālais pieaugums</t>
  </si>
  <si>
    <t>KOPĀ</t>
  </si>
  <si>
    <t>ATALGOJUMS KOPĀ</t>
  </si>
  <si>
    <t>Atalgojums bez mērķdotācijām, ceļu fonda</t>
  </si>
  <si>
    <t>Starpība (pieaugums)</t>
  </si>
  <si>
    <t>CEĻU FONDS</t>
  </si>
  <si>
    <t>Pamatbudžeta ieņēmumi</t>
  </si>
  <si>
    <t>Mērķdotācijas</t>
  </si>
  <si>
    <t>Iestāžu ieņēmumi no maksas pakalpojumiem</t>
  </si>
  <si>
    <t>Pārējie ieņemumi</t>
  </si>
  <si>
    <t>Pamatbudžeta izdevumi valdības funkciju sadalījumā</t>
  </si>
  <si>
    <t>Pamatbudžeta izdevumi</t>
  </si>
  <si>
    <t>Kredītu pamatsummas atmaksa, procentu maksājumi, kredītu apkalpošana</t>
  </si>
  <si>
    <t>Pārējie (izpildvara, veselība, sabiedriskā kārtība, vides aizsardzība)</t>
  </si>
  <si>
    <t>Kultūra un sports</t>
  </si>
  <si>
    <t>Pašvaldības teritoriju un mājokļu apsaimniekošana</t>
  </si>
  <si>
    <t xml:space="preserve">Pamatbudžeta izdevumi </t>
  </si>
  <si>
    <t>Atlīdzība</t>
  </si>
  <si>
    <t>Komunālie pakalpojumi (t.sk. kurināmais un degviela)</t>
  </si>
  <si>
    <t>Sakaru pakalpojumi</t>
  </si>
  <si>
    <t>Apkure</t>
  </si>
  <si>
    <t>Ūdens un kanalizācija</t>
  </si>
  <si>
    <t>Elektroenerģija</t>
  </si>
  <si>
    <t>Atkritumu savākšana</t>
  </si>
  <si>
    <t>Kurināmais</t>
  </si>
  <si>
    <t>Degviela</t>
  </si>
  <si>
    <t>Ēdināšana</t>
  </si>
  <si>
    <t xml:space="preserve">Ēku, telpu, aparatūras noma </t>
  </si>
  <si>
    <t>Komandējumi un dienesta braucieni</t>
  </si>
  <si>
    <t>Pārējie pakalpojumi (t.sk. ceļu uzturēšana)</t>
  </si>
  <si>
    <t>Pārējie materiāli</t>
  </si>
  <si>
    <t>Grāmatas, laikraksti</t>
  </si>
  <si>
    <t>Pārējie pamatlīdzekļi</t>
  </si>
  <si>
    <t>Pabalsti, dotācijas</t>
  </si>
  <si>
    <t>Nodokļi/ transferti</t>
  </si>
  <si>
    <t>Citi (pārējie pamatlīdzekļi, grāmatas, telpu noma u.c.)</t>
  </si>
  <si>
    <t>2% atalgojums</t>
  </si>
  <si>
    <t xml:space="preserve">        Pašvaldības policija</t>
  </si>
  <si>
    <t xml:space="preserve">        Ugunsdrošības, glābšanas un civilās drošības dieneti</t>
  </si>
  <si>
    <t xml:space="preserve">         Vispārēja ekonomiska, komerciāla un nodarbinātības darbība</t>
  </si>
  <si>
    <t xml:space="preserve">         Lauksaimniecība, mežsaimniecība, zivsaimniecība un medniecība</t>
  </si>
  <si>
    <t>Bāriņtiesa - audžuģimeņu pasākums</t>
  </si>
  <si>
    <t xml:space="preserve">2020.gada pamatbudžeta ieņēmumi  </t>
  </si>
  <si>
    <t>Nodevas</t>
  </si>
  <si>
    <t>12.000</t>
  </si>
  <si>
    <t>21.000</t>
  </si>
  <si>
    <t xml:space="preserve">Kopā   ieņēmumi  </t>
  </si>
  <si>
    <t>Izdevumi</t>
  </si>
  <si>
    <t>28.01.2021. lēmumam Nr.</t>
  </si>
  <si>
    <t>(protokols Nr., 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</si>
</sst>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_-* #,##0\ _€_-;\-* #,##0\ _€_-;_-* &quot;-&quot;??\ _€_-;_-@_-"/>
  </numFmts>
  <fonts count="28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i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Arial"/>
      <family val="2"/>
      <charset val="186"/>
    </font>
    <font>
      <b/>
      <sz val="12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</font>
    <font>
      <b/>
      <sz val="12"/>
      <color theme="1"/>
      <name val="Calibri"/>
      <family val="2"/>
      <charset val="186"/>
      <scheme val="minor"/>
    </font>
    <font>
      <b/>
      <sz val="11"/>
      <color theme="0"/>
      <name val="Calibri"/>
      <family val="2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quotePrefix="1" applyFont="1" applyFill="1" applyBorder="1"/>
    <xf numFmtId="49" fontId="6" fillId="0" borderId="1" xfId="0" applyNumberFormat="1" applyFont="1" applyFill="1" applyBorder="1"/>
    <xf numFmtId="0" fontId="6" fillId="0" borderId="1" xfId="0" applyFont="1" applyFill="1" applyBorder="1" applyAlignment="1"/>
    <xf numFmtId="0" fontId="10" fillId="0" borderId="1" xfId="0" applyFont="1" applyFill="1" applyBorder="1" applyAlignment="1">
      <alignment textRotation="90" wrapText="1"/>
    </xf>
    <xf numFmtId="0" fontId="10" fillId="0" borderId="1" xfId="0" applyFont="1" applyFill="1" applyBorder="1"/>
    <xf numFmtId="0" fontId="3" fillId="3" borderId="1" xfId="0" applyFont="1" applyFill="1" applyBorder="1" applyAlignment="1">
      <alignment wrapText="1"/>
    </xf>
    <xf numFmtId="0" fontId="6" fillId="3" borderId="1" xfId="0" applyFont="1" applyFill="1" applyBorder="1"/>
    <xf numFmtId="164" fontId="6" fillId="0" borderId="1" xfId="0" quotePrefix="1" applyNumberFormat="1" applyFont="1" applyFill="1" applyBorder="1" applyAlignment="1">
      <alignment horizontal="left"/>
    </xf>
    <xf numFmtId="164" fontId="6" fillId="3" borderId="1" xfId="0" quotePrefix="1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2" fillId="2" borderId="1" xfId="0" applyFont="1" applyFill="1" applyBorder="1"/>
    <xf numFmtId="0" fontId="14" fillId="4" borderId="1" xfId="0" applyFont="1" applyFill="1" applyBorder="1" applyAlignment="1">
      <alignment vertical="center"/>
    </xf>
    <xf numFmtId="3" fontId="1" fillId="0" borderId="0" xfId="0" applyNumberFormat="1" applyFont="1" applyFill="1"/>
    <xf numFmtId="0" fontId="1" fillId="0" borderId="0" xfId="0" applyFont="1"/>
    <xf numFmtId="0" fontId="0" fillId="0" borderId="0" xfId="0" applyFont="1" applyFill="1"/>
    <xf numFmtId="0" fontId="12" fillId="0" borderId="0" xfId="0" applyFont="1" applyFill="1"/>
    <xf numFmtId="0" fontId="10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0" fontId="0" fillId="0" borderId="1" xfId="0" applyFont="1" applyFill="1" applyBorder="1"/>
    <xf numFmtId="49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left" wrapText="1"/>
    </xf>
    <xf numFmtId="49" fontId="0" fillId="0" borderId="1" xfId="0" quotePrefix="1" applyNumberFormat="1" applyFont="1" applyFill="1" applyBorder="1"/>
    <xf numFmtId="0" fontId="1" fillId="0" borderId="0" xfId="0" applyFont="1" applyFill="1" applyBorder="1" applyAlignment="1">
      <alignment wrapText="1"/>
    </xf>
    <xf numFmtId="49" fontId="1" fillId="0" borderId="1" xfId="0" quotePrefix="1" applyNumberFormat="1" applyFont="1" applyFill="1" applyBorder="1"/>
    <xf numFmtId="0" fontId="10" fillId="0" borderId="2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0" fillId="0" borderId="0" xfId="0" applyFont="1" applyFill="1"/>
    <xf numFmtId="3" fontId="0" fillId="0" borderId="0" xfId="0" applyNumberFormat="1" applyFont="1" applyFill="1"/>
    <xf numFmtId="0" fontId="11" fillId="0" borderId="0" xfId="0" applyFont="1" applyFill="1" applyAlignment="1">
      <alignment horizontal="right"/>
    </xf>
    <xf numFmtId="0" fontId="0" fillId="0" borderId="0" xfId="0" quotePrefix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4" fillId="5" borderId="1" xfId="0" applyFont="1" applyFill="1" applyBorder="1" applyAlignment="1">
      <alignment vertical="center"/>
    </xf>
    <xf numFmtId="0" fontId="0" fillId="0" borderId="0" xfId="0" applyFill="1"/>
    <xf numFmtId="0" fontId="1" fillId="0" borderId="1" xfId="0" applyFont="1" applyFill="1" applyBorder="1"/>
    <xf numFmtId="0" fontId="3" fillId="2" borderId="1" xfId="0" applyFont="1" applyFill="1" applyBorder="1" applyAlignment="1">
      <alignment wrapText="1"/>
    </xf>
    <xf numFmtId="0" fontId="12" fillId="0" borderId="1" xfId="0" applyFont="1" applyFill="1" applyBorder="1"/>
    <xf numFmtId="0" fontId="6" fillId="2" borderId="1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16" fillId="0" borderId="0" xfId="0" applyFont="1" applyFill="1" applyBorder="1" applyAlignment="1">
      <alignment wrapText="1"/>
    </xf>
    <xf numFmtId="0" fontId="19" fillId="0" borderId="1" xfId="0" applyFont="1" applyFill="1" applyBorder="1"/>
    <xf numFmtId="0" fontId="16" fillId="0" borderId="1" xfId="0" applyFont="1" applyFill="1" applyBorder="1" applyAlignment="1">
      <alignment horizontal="right"/>
    </xf>
    <xf numFmtId="49" fontId="16" fillId="0" borderId="1" xfId="0" applyNumberFormat="1" applyFont="1" applyFill="1" applyBorder="1"/>
    <xf numFmtId="0" fontId="18" fillId="0" borderId="0" xfId="0" applyFont="1" applyFill="1" applyBorder="1"/>
    <xf numFmtId="4" fontId="18" fillId="0" borderId="1" xfId="0" applyNumberFormat="1" applyFont="1" applyFill="1" applyBorder="1"/>
    <xf numFmtId="0" fontId="3" fillId="0" borderId="1" xfId="0" applyFont="1" applyFill="1" applyBorder="1"/>
    <xf numFmtId="0" fontId="15" fillId="0" borderId="1" xfId="0" applyFont="1" applyFill="1" applyBorder="1"/>
    <xf numFmtId="0" fontId="10" fillId="0" borderId="0" xfId="0" applyFont="1" applyFill="1" applyAlignment="1"/>
    <xf numFmtId="0" fontId="3" fillId="0" borderId="1" xfId="0" applyFont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" xfId="0" applyFont="1" applyBorder="1" applyAlignment="1">
      <alignment wrapText="1"/>
    </xf>
    <xf numFmtId="0" fontId="12" fillId="2" borderId="1" xfId="0" applyFont="1" applyFill="1" applyBorder="1"/>
    <xf numFmtId="0" fontId="15" fillId="2" borderId="1" xfId="0" applyFont="1" applyFill="1" applyBorder="1"/>
    <xf numFmtId="0" fontId="0" fillId="2" borderId="0" xfId="0" applyFill="1" applyBorder="1"/>
    <xf numFmtId="0" fontId="3" fillId="2" borderId="1" xfId="0" applyFont="1" applyFill="1" applyBorder="1"/>
    <xf numFmtId="0" fontId="11" fillId="0" borderId="0" xfId="0" applyFont="1"/>
    <xf numFmtId="9" fontId="0" fillId="0" borderId="1" xfId="0" applyNumberFormat="1" applyBorder="1"/>
    <xf numFmtId="0" fontId="22" fillId="0" borderId="1" xfId="0" applyFont="1" applyFill="1" applyBorder="1"/>
    <xf numFmtId="0" fontId="22" fillId="0" borderId="1" xfId="0" applyFont="1" applyBorder="1"/>
    <xf numFmtId="9" fontId="22" fillId="0" borderId="1" xfId="0" applyNumberFormat="1" applyFont="1" applyFill="1" applyBorder="1"/>
    <xf numFmtId="0" fontId="23" fillId="0" borderId="1" xfId="0" applyFont="1" applyFill="1" applyBorder="1"/>
    <xf numFmtId="0" fontId="0" fillId="7" borderId="1" xfId="0" applyFill="1" applyBorder="1"/>
    <xf numFmtId="0" fontId="15" fillId="0" borderId="0" xfId="0" applyFont="1"/>
    <xf numFmtId="0" fontId="15" fillId="0" borderId="0" xfId="0" applyFont="1" applyAlignment="1"/>
    <xf numFmtId="0" fontId="16" fillId="0" borderId="4" xfId="0" applyFont="1" applyFill="1" applyBorder="1"/>
    <xf numFmtId="0" fontId="16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wrapText="1"/>
    </xf>
    <xf numFmtId="0" fontId="0" fillId="0" borderId="0" xfId="0" applyBorder="1"/>
    <xf numFmtId="0" fontId="16" fillId="0" borderId="6" xfId="0" applyFont="1" applyFill="1" applyBorder="1"/>
    <xf numFmtId="0" fontId="19" fillId="0" borderId="6" xfId="0" applyFont="1" applyFill="1" applyBorder="1"/>
    <xf numFmtId="0" fontId="19" fillId="0" borderId="6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right"/>
    </xf>
    <xf numFmtId="0" fontId="19" fillId="0" borderId="6" xfId="0" applyFont="1" applyFill="1" applyBorder="1" applyAlignment="1">
      <alignment horizontal="center" wrapText="1"/>
    </xf>
    <xf numFmtId="49" fontId="0" fillId="0" borderId="4" xfId="0" applyNumberFormat="1" applyBorder="1"/>
    <xf numFmtId="3" fontId="1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quotePrefix="1" applyFont="1" applyFill="1"/>
    <xf numFmtId="0" fontId="0" fillId="0" borderId="1" xfId="0" applyFont="1" applyBorder="1"/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8" borderId="1" xfId="0" applyFont="1" applyFill="1" applyBorder="1"/>
    <xf numFmtId="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Border="1"/>
    <xf numFmtId="9" fontId="0" fillId="0" borderId="0" xfId="1" applyFont="1" applyBorder="1" applyAlignment="1">
      <alignment horizontal="right"/>
    </xf>
    <xf numFmtId="0" fontId="26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/>
    <xf numFmtId="0" fontId="26" fillId="0" borderId="1" xfId="0" applyFont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11" fillId="0" borderId="0" xfId="0" applyFont="1" applyBorder="1"/>
    <xf numFmtId="3" fontId="11" fillId="0" borderId="0" xfId="0" applyNumberFormat="1" applyFont="1" applyBorder="1"/>
    <xf numFmtId="0" fontId="11" fillId="0" borderId="0" xfId="0" applyNumberFormat="1" applyFont="1" applyBorder="1"/>
    <xf numFmtId="4" fontId="18" fillId="0" borderId="0" xfId="0" applyNumberFormat="1" applyFont="1" applyFill="1" applyBorder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ill="1" applyBorder="1"/>
    <xf numFmtId="3" fontId="18" fillId="0" borderId="0" xfId="0" applyNumberFormat="1" applyFont="1" applyFill="1" applyBorder="1"/>
    <xf numFmtId="3" fontId="0" fillId="0" borderId="0" xfId="0" applyNumberFormat="1" applyFill="1"/>
    <xf numFmtId="49" fontId="0" fillId="0" borderId="1" xfId="0" applyNumberForma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9" fontId="1" fillId="0" borderId="0" xfId="0" applyNumberFormat="1" applyFont="1" applyFill="1"/>
    <xf numFmtId="0" fontId="22" fillId="0" borderId="0" xfId="0" applyFont="1" applyFill="1" applyBorder="1"/>
    <xf numFmtId="0" fontId="27" fillId="0" borderId="0" xfId="0" applyFont="1"/>
    <xf numFmtId="0" fontId="21" fillId="6" borderId="7" xfId="0" applyFont="1" applyFill="1" applyBorder="1" applyAlignment="1">
      <alignment horizontal="left" vertical="top" wrapText="1" indent="2"/>
    </xf>
    <xf numFmtId="0" fontId="16" fillId="0" borderId="0" xfId="0" applyFont="1" applyFill="1" applyBorder="1" applyAlignment="1">
      <alignment horizontal="left" wrapText="1" indent="2"/>
    </xf>
    <xf numFmtId="0" fontId="16" fillId="0" borderId="1" xfId="0" applyFont="1" applyFill="1" applyBorder="1" applyAlignment="1">
      <alignment horizontal="left" wrapText="1" indent="2"/>
    </xf>
    <xf numFmtId="0" fontId="21" fillId="6" borderId="8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indent="2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/>
    <xf numFmtId="0" fontId="11" fillId="0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3" fontId="1" fillId="0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2" borderId="1" xfId="0" applyFont="1" applyFill="1" applyBorder="1" applyAlignment="1">
      <alignment textRotation="90" wrapText="1"/>
    </xf>
    <xf numFmtId="0" fontId="0" fillId="2" borderId="1" xfId="0" applyFill="1" applyBorder="1"/>
    <xf numFmtId="49" fontId="6" fillId="0" borderId="1" xfId="0" quotePrefix="1" applyNumberFormat="1" applyFont="1" applyFill="1" applyBorder="1"/>
    <xf numFmtId="0" fontId="1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10" fontId="0" fillId="0" borderId="1" xfId="0" applyNumberFormat="1" applyBorder="1"/>
    <xf numFmtId="10" fontId="11" fillId="0" borderId="1" xfId="0" applyNumberFormat="1" applyFont="1" applyBorder="1"/>
    <xf numFmtId="0" fontId="6" fillId="7" borderId="1" xfId="0" applyFont="1" applyFill="1" applyBorder="1"/>
    <xf numFmtId="0" fontId="3" fillId="9" borderId="1" xfId="0" applyFont="1" applyFill="1" applyBorder="1" applyAlignment="1">
      <alignment wrapText="1"/>
    </xf>
    <xf numFmtId="166" fontId="22" fillId="0" borderId="1" xfId="0" applyNumberFormat="1" applyFont="1" applyFill="1" applyBorder="1"/>
    <xf numFmtId="165" fontId="11" fillId="0" borderId="0" xfId="1" applyNumberFormat="1" applyFont="1" applyBorder="1"/>
    <xf numFmtId="10" fontId="0" fillId="0" borderId="0" xfId="1" applyNumberFormat="1" applyFont="1"/>
    <xf numFmtId="2" fontId="11" fillId="0" borderId="0" xfId="1" applyNumberFormat="1" applyFont="1" applyBorder="1"/>
    <xf numFmtId="165" fontId="11" fillId="0" borderId="0" xfId="0" applyNumberFormat="1" applyFont="1" applyBorder="1"/>
    <xf numFmtId="9" fontId="11" fillId="0" borderId="1" xfId="1" applyFont="1" applyBorder="1"/>
    <xf numFmtId="10" fontId="11" fillId="0" borderId="0" xfId="0" applyNumberFormat="1" applyFont="1" applyBorder="1"/>
    <xf numFmtId="165" fontId="11" fillId="0" borderId="1" xfId="1" applyNumberFormat="1" applyFont="1" applyBorder="1"/>
    <xf numFmtId="0" fontId="15" fillId="0" borderId="0" xfId="0" applyFont="1" applyAlignment="1">
      <alignment horizontal="right"/>
    </xf>
    <xf numFmtId="0" fontId="0" fillId="0" borderId="4" xfId="0" applyBorder="1"/>
    <xf numFmtId="0" fontId="15" fillId="0" borderId="0" xfId="0" applyFont="1" applyAlignment="1">
      <alignment horizontal="right"/>
    </xf>
    <xf numFmtId="0" fontId="11" fillId="0" borderId="4" xfId="0" applyFont="1" applyBorder="1" applyAlignment="1"/>
    <xf numFmtId="0" fontId="11" fillId="0" borderId="2" xfId="0" applyFont="1" applyBorder="1" applyAlignment="1"/>
    <xf numFmtId="0" fontId="11" fillId="0" borderId="6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0" fillId="0" borderId="4" xfId="0" applyFont="1" applyBorder="1" applyAlignment="1">
      <alignment horizontal="left" indent="3"/>
    </xf>
    <xf numFmtId="0" fontId="0" fillId="0" borderId="2" xfId="0" applyFont="1" applyBorder="1" applyAlignment="1">
      <alignment horizontal="left" indent="3"/>
    </xf>
    <xf numFmtId="0" fontId="0" fillId="0" borderId="6" xfId="0" applyFont="1" applyBorder="1" applyAlignment="1">
      <alignment horizontal="left" indent="3"/>
    </xf>
    <xf numFmtId="0" fontId="0" fillId="0" borderId="4" xfId="0" applyBorder="1" applyAlignment="1">
      <alignment horizontal="left" indent="3"/>
    </xf>
    <xf numFmtId="0" fontId="0" fillId="0" borderId="2" xfId="0" applyBorder="1" applyAlignment="1">
      <alignment horizontal="left" indent="3"/>
    </xf>
    <xf numFmtId="0" fontId="0" fillId="0" borderId="6" xfId="0" applyBorder="1" applyAlignment="1">
      <alignment horizontal="left" indent="3"/>
    </xf>
    <xf numFmtId="0" fontId="1" fillId="0" borderId="0" xfId="0" applyFont="1" applyAlignment="1">
      <alignment horizontal="right"/>
    </xf>
  </cellXfs>
  <cellStyles count="2">
    <cellStyle name="Parasts" xfId="0" builtinId="0"/>
    <cellStyle name="Procenti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ieņēmumi</a:t>
            </a:r>
            <a:r>
              <a:rPr lang="lv-LV" baseline="0"/>
              <a:t>, %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48-475B-A371-71AEF98FD3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48-475B-A371-71AEF98FD3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48-475B-A371-71AEF98FD3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48-475B-A371-71AEF98FD3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F96-42EC-A920-4A442AFA38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48-475B-A371-71AEF98FD3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48-475B-A371-71AEF98FD3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48-475B-A371-71AEF98FD368}"/>
              </c:ext>
            </c:extLst>
          </c:dPt>
          <c:dLbls>
            <c:dLbl>
              <c:idx val="4"/>
              <c:layout>
                <c:manualLayout>
                  <c:x val="-0.16984149944911503"/>
                  <c:y val="-2.431295869494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6-42EC-A920-4A442AFA38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analīzei!$A$74:$A$81</c:f>
              <c:strCache>
                <c:ptCount val="8"/>
                <c:pt idx="0">
                  <c:v>Mērķdotācijas</c:v>
                </c:pt>
                <c:pt idx="1">
                  <c:v>Pašvaldību budžeta transferti</c:v>
                </c:pt>
                <c:pt idx="2">
                  <c:v>Azartspēļu nodoklis</c:v>
                </c:pt>
                <c:pt idx="3">
                  <c:v>Dotācija no PFIF</c:v>
                </c:pt>
                <c:pt idx="4">
                  <c:v>Nekustamā īpašuma nodoklis</c:v>
                </c:pt>
                <c:pt idx="5">
                  <c:v>Iedzīvotāju ienākuma nodoklis</c:v>
                </c:pt>
                <c:pt idx="6">
                  <c:v>Iestāžu ieņēmumi no maksas pakalpojumiem</c:v>
                </c:pt>
                <c:pt idx="7">
                  <c:v>Pārējie ieņemumi</c:v>
                </c:pt>
              </c:strCache>
            </c:strRef>
          </c:cat>
          <c:val>
            <c:numRef>
              <c:f>analīzei!$C$74:$C$81</c:f>
              <c:numCache>
                <c:formatCode>General</c:formatCode>
                <c:ptCount val="8"/>
                <c:pt idx="0">
                  <c:v>5659131</c:v>
                </c:pt>
                <c:pt idx="1">
                  <c:v>357000</c:v>
                </c:pt>
                <c:pt idx="2">
                  <c:v>20000</c:v>
                </c:pt>
                <c:pt idx="3">
                  <c:v>6282296</c:v>
                </c:pt>
                <c:pt idx="4">
                  <c:v>1230207</c:v>
                </c:pt>
                <c:pt idx="5">
                  <c:v>10573284</c:v>
                </c:pt>
                <c:pt idx="6">
                  <c:v>1008825</c:v>
                </c:pt>
                <c:pt idx="7">
                  <c:v>32241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6-42EC-A920-4A442AFA384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izdevumi valdības funkciju sadalījumā,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22873567977387552"/>
          <c:y val="0.169345313933189"/>
          <c:w val="0.54252881441557543"/>
          <c:h val="0.739923280125765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4C-4B64-9CC7-55800E05C8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7B-4E2B-A8FD-5B33980BC6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7B-4E2B-A8FD-5B33980BC6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4C-4B64-9CC7-55800E05C8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4C-4B64-9CC7-55800E05C8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4C-4B64-9CC7-55800E05C84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4C-4B64-9CC7-55800E05C84A}"/>
              </c:ext>
            </c:extLst>
          </c:dPt>
          <c:dLbls>
            <c:dLbl>
              <c:idx val="0"/>
              <c:layout>
                <c:manualLayout>
                  <c:x val="2.8460268598402175E-2"/>
                  <c:y val="-4.9307937787075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C-4B64-9CC7-55800E05C84A}"/>
                </c:ext>
              </c:extLst>
            </c:dLbl>
            <c:dLbl>
              <c:idx val="1"/>
              <c:layout>
                <c:manualLayout>
                  <c:x val="0.24855839895013124"/>
                  <c:y val="-4.7930528173550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B-4E2B-A8FD-5B33980BC6EF}"/>
                </c:ext>
              </c:extLst>
            </c:dLbl>
            <c:dLbl>
              <c:idx val="2"/>
              <c:layout>
                <c:manualLayout>
                  <c:x val="0.10139854506199196"/>
                  <c:y val="6.54575780968336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7B-4E2B-A8FD-5B33980BC6EF}"/>
                </c:ext>
              </c:extLst>
            </c:dLbl>
            <c:dLbl>
              <c:idx val="3"/>
              <c:layout>
                <c:manualLayout>
                  <c:x val="-8.1841591357515342E-2"/>
                  <c:y val="-6.557158377650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4C-4B64-9CC7-55800E05C84A}"/>
                </c:ext>
              </c:extLst>
            </c:dLbl>
            <c:dLbl>
              <c:idx val="4"/>
              <c:layout>
                <c:manualLayout>
                  <c:x val="-6.6578814798537486E-2"/>
                  <c:y val="-0.16025545494604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C-4B64-9CC7-55800E05C84A}"/>
                </c:ext>
              </c:extLst>
            </c:dLbl>
            <c:dLbl>
              <c:idx val="5"/>
              <c:layout>
                <c:manualLayout>
                  <c:x val="2.4765759300165252E-2"/>
                  <c:y val="-8.4396540700856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4C-4B64-9CC7-55800E05C84A}"/>
                </c:ext>
              </c:extLst>
            </c:dLbl>
            <c:dLbl>
              <c:idx val="6"/>
              <c:layout>
                <c:manualLayout>
                  <c:x val="-2.2502670951616417E-2"/>
                  <c:y val="4.1486015706859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4C-4B64-9CC7-55800E05C8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analīzei!$A$90:$A$96</c:f>
              <c:strCache>
                <c:ptCount val="7"/>
                <c:pt idx="0">
                  <c:v>Izglītība</c:v>
                </c:pt>
                <c:pt idx="1">
                  <c:v>Sociālā aizsardzība</c:v>
                </c:pt>
                <c:pt idx="2">
                  <c:v>Ekonomiskā darbība</c:v>
                </c:pt>
                <c:pt idx="3">
                  <c:v>Kredītu pamatsummas atmaksa, procentu maksājumi, kredītu apkalpošana</c:v>
                </c:pt>
                <c:pt idx="4">
                  <c:v>Pārējie (izpildvara, veselība, sabiedriskā kārtība, vides aizsardzība)</c:v>
                </c:pt>
                <c:pt idx="5">
                  <c:v>Kultūra un sports</c:v>
                </c:pt>
                <c:pt idx="6">
                  <c:v>Pašvaldības teritoriju un mājokļu apsaimniekošana</c:v>
                </c:pt>
              </c:strCache>
            </c:strRef>
          </c:cat>
          <c:val>
            <c:numRef>
              <c:f>analīzei!$C$90:$C$96</c:f>
              <c:numCache>
                <c:formatCode>General</c:formatCode>
                <c:ptCount val="7"/>
                <c:pt idx="0">
                  <c:v>11480580</c:v>
                </c:pt>
                <c:pt idx="1">
                  <c:v>3522202</c:v>
                </c:pt>
                <c:pt idx="2">
                  <c:v>301130</c:v>
                </c:pt>
                <c:pt idx="3">
                  <c:v>1630553</c:v>
                </c:pt>
                <c:pt idx="4">
                  <c:v>3109295</c:v>
                </c:pt>
                <c:pt idx="5">
                  <c:v>2544947</c:v>
                </c:pt>
                <c:pt idx="6">
                  <c:v>4653692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B-4E2B-A8FD-5B33980BC6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izdevumi,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0-4962-8F84-BC9496C821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70-4962-8F84-BC9496C821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70-4962-8F84-BC9496C821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70-4962-8F84-BC9496C821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70-4962-8F84-BC9496C821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70-4962-8F84-BC9496C821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70-4962-8F84-BC9496C821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3D-4FD7-B8D4-7E21B1AA85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70-4962-8F84-BC9496C8211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D3D-4FD7-B8D4-7E21B1AA8579}"/>
              </c:ext>
            </c:extLst>
          </c:dPt>
          <c:dLbls>
            <c:dLbl>
              <c:idx val="6"/>
              <c:layout>
                <c:manualLayout>
                  <c:x val="-5.907554178870026E-2"/>
                  <c:y val="-2.4443863910511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8622C3-9C37-406C-8FED-21F9BEFC0F1E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[KATEGORIJAS NOSAUKUMS]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46A5BCBE-10ED-4E8C-A46D-E5E38A9B4121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[PROCENTUĀLĀ VĒRTĪBA]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77683375606478"/>
                      <c:h val="0.131624370945105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C470-4962-8F84-BC9496C82110}"/>
                </c:ext>
              </c:extLst>
            </c:dLbl>
            <c:dLbl>
              <c:idx val="9"/>
              <c:layout>
                <c:manualLayout>
                  <c:x val="0.29685167198234236"/>
                  <c:y val="4.84117862451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3D-4FD7-B8D4-7E21B1AA85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(analīzei!$A$105:$A$106,analīzei!$A$114:$A$115,analīzei!$A$117:$A$119,analīzei!$A$122:$A$123,analīzei!$A$125)</c:f>
              <c:strCache>
                <c:ptCount val="10"/>
                <c:pt idx="0">
                  <c:v>Atlīdzība</c:v>
                </c:pt>
                <c:pt idx="1">
                  <c:v>Komunālie pakalpojumi (t.sk. kurināmais un degviela)</c:v>
                </c:pt>
                <c:pt idx="2">
                  <c:v>Ēdināšana</c:v>
                </c:pt>
                <c:pt idx="3">
                  <c:v>Skolēnu pārvadājumi</c:v>
                </c:pt>
                <c:pt idx="4">
                  <c:v>Komandējumi un dienesta braucieni</c:v>
                </c:pt>
                <c:pt idx="5">
                  <c:v>Pārējie pakalpojumi (t.sk. ceļu uzturēšana)</c:v>
                </c:pt>
                <c:pt idx="6">
                  <c:v>Pārējie materiāli</c:v>
                </c:pt>
                <c:pt idx="7">
                  <c:v>Pabalsti, dotācijas</c:v>
                </c:pt>
                <c:pt idx="8">
                  <c:v>Nodokļi/ transferti</c:v>
                </c:pt>
                <c:pt idx="9">
                  <c:v>Citi (pārējie pamatlīdzekļi, grāmatas, telpu noma u.c.)</c:v>
                </c:pt>
              </c:strCache>
            </c:strRef>
          </c:cat>
          <c:val>
            <c:numRef>
              <c:f>(analīzei!$C$105:$C$106,analīzei!$C$114:$C$115,analīzei!$C$117:$C$119,analīzei!$C$122:$C$123,analīzei!$C$125)</c:f>
              <c:numCache>
                <c:formatCode>General</c:formatCode>
                <c:ptCount val="10"/>
                <c:pt idx="0">
                  <c:v>15522626</c:v>
                </c:pt>
                <c:pt idx="1">
                  <c:v>2078630</c:v>
                </c:pt>
                <c:pt idx="2">
                  <c:v>808119</c:v>
                </c:pt>
                <c:pt idx="3">
                  <c:v>187863</c:v>
                </c:pt>
                <c:pt idx="4">
                  <c:v>14861</c:v>
                </c:pt>
                <c:pt idx="5">
                  <c:v>4966791</c:v>
                </c:pt>
                <c:pt idx="6">
                  <c:v>1223796</c:v>
                </c:pt>
                <c:pt idx="7">
                  <c:v>1641898</c:v>
                </c:pt>
                <c:pt idx="8">
                  <c:v>652326</c:v>
                </c:pt>
                <c:pt idx="9">
                  <c:v>145489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70-4962-8F84-BC9496C82110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657223</xdr:colOff>
      <xdr:row>65</xdr:row>
      <xdr:rowOff>109536</xdr:rowOff>
    </xdr:from>
    <xdr:to>
      <xdr:col>9</xdr:col>
      <xdr:colOff>847724</xdr:colOff>
      <xdr:row>87</xdr:row>
      <xdr:rowOff>95250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B0EB541D-1683-4124-8664-7651FF36A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552451</xdr:colOff>
      <xdr:row>91</xdr:row>
      <xdr:rowOff>14285</xdr:rowOff>
    </xdr:from>
    <xdr:to>
      <xdr:col>10</xdr:col>
      <xdr:colOff>542926</xdr:colOff>
      <xdr:row>113</xdr:row>
      <xdr:rowOff>66674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1521269D-4BB2-4FD1-8BA0-0FC792F4E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638175</xdr:colOff>
      <xdr:row>96</xdr:row>
      <xdr:rowOff>27709</xdr:rowOff>
    </xdr:from>
    <xdr:to>
      <xdr:col>16</xdr:col>
      <xdr:colOff>55418</xdr:colOff>
      <xdr:row>119</xdr:row>
      <xdr:rowOff>161925</xdr:rowOff>
    </xdr:to>
    <xdr:graphicFrame macro="">
      <xdr:nvGraphicFramePr>
        <xdr:cNvPr id="5" name="Diagramma 4">
          <a:extLst>
            <a:ext uri="{FF2B5EF4-FFF2-40B4-BE49-F238E27FC236}">
              <a16:creationId xmlns:a16="http://schemas.microsoft.com/office/drawing/2014/main" id="{5209C902-CBF5-457A-8116-C28F5600E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AS570"/>
  <sheetViews>
    <sheetView zoomScale="85" zoomScaleNormal="85" zoomScalePageLayoutView="25" workbookViewId="0">
      <pane xSplit="3" ySplit="7" topLeftCell="X8" activePane="bottomRight" state="frozen"/>
      <selection pane="topRight" activeCell="X480" sqref="X480"/>
      <selection pane="bottomLeft" activeCell="X480" sqref="X480"/>
      <selection pane="bottomRight" activeCell="B19" sqref="B19"/>
    </sheetView>
  </sheetViews>
  <sheetFormatPr defaultRowHeight="15" x14ac:dyDescent="0.25"/>
  <cols>
    <col min="1" max="1" width="15.42578125" style="1" bestFit="1" customWidth="1"/>
    <col min="2" max="2" width="26.5703125" style="1" customWidth="1"/>
    <col min="3" max="3" width="12.140625" style="1" bestFit="1" customWidth="1"/>
    <col min="4" max="5" width="12.42578125" customWidth="1"/>
    <col min="6" max="7" width="9.7109375" customWidth="1"/>
    <col min="8" max="13" width="9.28515625" customWidth="1"/>
    <col min="14" max="15" width="9.85546875" customWidth="1"/>
    <col min="16" max="17" width="9.28515625" customWidth="1"/>
    <col min="18" max="19" width="9.85546875" customWidth="1"/>
    <col min="20" max="25" width="9.28515625" customWidth="1"/>
    <col min="26" max="26" width="12.85546875" style="1" customWidth="1" collapsed="1"/>
    <col min="27" max="27" width="12.85546875" style="1" customWidth="1"/>
    <col min="28" max="29" width="9.28515625" customWidth="1"/>
    <col min="30" max="31" width="10.28515625" customWidth="1"/>
    <col min="32" max="33" width="10.85546875" customWidth="1"/>
    <col min="34" max="37" width="10.140625" customWidth="1"/>
    <col min="38" max="39" width="11.140625" customWidth="1"/>
    <col min="40" max="41" width="10.140625" customWidth="1"/>
    <col min="42" max="43" width="12.28515625" style="1" customWidth="1"/>
    <col min="44" max="44" width="24.85546875" style="1" customWidth="1"/>
    <col min="45" max="242" width="9.140625" style="1"/>
    <col min="243" max="243" width="10.140625" style="1" customWidth="1"/>
    <col min="244" max="244" width="17.28515625" style="1" customWidth="1"/>
    <col min="245" max="245" width="9.42578125" style="1" customWidth="1"/>
    <col min="246" max="247" width="9" style="1" customWidth="1"/>
    <col min="248" max="249" width="7" style="1" customWidth="1"/>
    <col min="250" max="251" width="8.28515625" style="1" customWidth="1"/>
    <col min="252" max="261" width="7" style="1" customWidth="1"/>
    <col min="262" max="263" width="6.85546875" style="1" customWidth="1"/>
    <col min="264" max="265" width="6" style="1" customWidth="1"/>
    <col min="266" max="267" width="9.140625" style="1" customWidth="1"/>
    <col min="268" max="269" width="6" style="1" customWidth="1"/>
    <col min="270" max="271" width="8.140625" style="1" customWidth="1"/>
    <col min="272" max="273" width="7" style="1" customWidth="1"/>
    <col min="274" max="275" width="6.7109375" style="1" customWidth="1"/>
    <col min="276" max="277" width="8.85546875" style="1" customWidth="1"/>
    <col min="278" max="279" width="7.5703125" style="1" customWidth="1"/>
    <col min="280" max="281" width="7.7109375" style="1" customWidth="1"/>
    <col min="282" max="498" width="9.140625" style="1"/>
    <col min="499" max="499" width="10.140625" style="1" customWidth="1"/>
    <col min="500" max="500" width="17.28515625" style="1" customWidth="1"/>
    <col min="501" max="501" width="9.42578125" style="1" customWidth="1"/>
    <col min="502" max="503" width="9" style="1" customWidth="1"/>
    <col min="504" max="505" width="7" style="1" customWidth="1"/>
    <col min="506" max="507" width="8.28515625" style="1" customWidth="1"/>
    <col min="508" max="517" width="7" style="1" customWidth="1"/>
    <col min="518" max="519" width="6.85546875" style="1" customWidth="1"/>
    <col min="520" max="521" width="6" style="1" customWidth="1"/>
    <col min="522" max="523" width="9.140625" style="1" customWidth="1"/>
    <col min="524" max="525" width="6" style="1" customWidth="1"/>
    <col min="526" max="527" width="8.140625" style="1" customWidth="1"/>
    <col min="528" max="529" width="7" style="1" customWidth="1"/>
    <col min="530" max="531" width="6.7109375" style="1" customWidth="1"/>
    <col min="532" max="533" width="8.85546875" style="1" customWidth="1"/>
    <col min="534" max="535" width="7.5703125" style="1" customWidth="1"/>
    <col min="536" max="537" width="7.7109375" style="1" customWidth="1"/>
    <col min="538" max="754" width="9.140625" style="1"/>
    <col min="755" max="755" width="10.140625" style="1" customWidth="1"/>
    <col min="756" max="756" width="17.28515625" style="1" customWidth="1"/>
    <col min="757" max="757" width="9.42578125" style="1" customWidth="1"/>
    <col min="758" max="759" width="9" style="1" customWidth="1"/>
    <col min="760" max="761" width="7" style="1" customWidth="1"/>
    <col min="762" max="763" width="8.28515625" style="1" customWidth="1"/>
    <col min="764" max="773" width="7" style="1" customWidth="1"/>
    <col min="774" max="775" width="6.85546875" style="1" customWidth="1"/>
    <col min="776" max="777" width="6" style="1" customWidth="1"/>
    <col min="778" max="779" width="9.140625" style="1" customWidth="1"/>
    <col min="780" max="781" width="6" style="1" customWidth="1"/>
    <col min="782" max="783" width="8.140625" style="1" customWidth="1"/>
    <col min="784" max="785" width="7" style="1" customWidth="1"/>
    <col min="786" max="787" width="6.7109375" style="1" customWidth="1"/>
    <col min="788" max="789" width="8.85546875" style="1" customWidth="1"/>
    <col min="790" max="791" width="7.5703125" style="1" customWidth="1"/>
    <col min="792" max="793" width="7.7109375" style="1" customWidth="1"/>
    <col min="794" max="1010" width="9.140625" style="1"/>
    <col min="1011" max="1011" width="10.140625" style="1" customWidth="1"/>
    <col min="1012" max="1012" width="17.28515625" style="1" customWidth="1"/>
    <col min="1013" max="1013" width="9.42578125" style="1" customWidth="1"/>
    <col min="1014" max="1015" width="9" style="1" customWidth="1"/>
    <col min="1016" max="1017" width="7" style="1" customWidth="1"/>
    <col min="1018" max="1019" width="8.28515625" style="1" customWidth="1"/>
    <col min="1020" max="1029" width="7" style="1" customWidth="1"/>
    <col min="1030" max="1031" width="6.85546875" style="1" customWidth="1"/>
    <col min="1032" max="1033" width="6" style="1" customWidth="1"/>
    <col min="1034" max="1035" width="9.140625" style="1" customWidth="1"/>
    <col min="1036" max="1037" width="6" style="1" customWidth="1"/>
    <col min="1038" max="1039" width="8.140625" style="1" customWidth="1"/>
    <col min="1040" max="1041" width="7" style="1" customWidth="1"/>
    <col min="1042" max="1043" width="6.7109375" style="1" customWidth="1"/>
    <col min="1044" max="1045" width="8.85546875" style="1" customWidth="1"/>
    <col min="1046" max="1047" width="7.5703125" style="1" customWidth="1"/>
    <col min="1048" max="1049" width="7.7109375" style="1" customWidth="1"/>
    <col min="1050" max="1266" width="9.140625" style="1"/>
    <col min="1267" max="1267" width="10.140625" style="1" customWidth="1"/>
    <col min="1268" max="1268" width="17.28515625" style="1" customWidth="1"/>
    <col min="1269" max="1269" width="9.42578125" style="1" customWidth="1"/>
    <col min="1270" max="1271" width="9" style="1" customWidth="1"/>
    <col min="1272" max="1273" width="7" style="1" customWidth="1"/>
    <col min="1274" max="1275" width="8.28515625" style="1" customWidth="1"/>
    <col min="1276" max="1285" width="7" style="1" customWidth="1"/>
    <col min="1286" max="1287" width="6.85546875" style="1" customWidth="1"/>
    <col min="1288" max="1289" width="6" style="1" customWidth="1"/>
    <col min="1290" max="1291" width="9.140625" style="1" customWidth="1"/>
    <col min="1292" max="1293" width="6" style="1" customWidth="1"/>
    <col min="1294" max="1295" width="8.140625" style="1" customWidth="1"/>
    <col min="1296" max="1297" width="7" style="1" customWidth="1"/>
    <col min="1298" max="1299" width="6.7109375" style="1" customWidth="1"/>
    <col min="1300" max="1301" width="8.85546875" style="1" customWidth="1"/>
    <col min="1302" max="1303" width="7.5703125" style="1" customWidth="1"/>
    <col min="1304" max="1305" width="7.7109375" style="1" customWidth="1"/>
    <col min="1306" max="1522" width="9.140625" style="1"/>
    <col min="1523" max="1523" width="10.140625" style="1" customWidth="1"/>
    <col min="1524" max="1524" width="17.28515625" style="1" customWidth="1"/>
    <col min="1525" max="1525" width="9.42578125" style="1" customWidth="1"/>
    <col min="1526" max="1527" width="9" style="1" customWidth="1"/>
    <col min="1528" max="1529" width="7" style="1" customWidth="1"/>
    <col min="1530" max="1531" width="8.28515625" style="1" customWidth="1"/>
    <col min="1532" max="1541" width="7" style="1" customWidth="1"/>
    <col min="1542" max="1543" width="6.85546875" style="1" customWidth="1"/>
    <col min="1544" max="1545" width="6" style="1" customWidth="1"/>
    <col min="1546" max="1547" width="9.140625" style="1" customWidth="1"/>
    <col min="1548" max="1549" width="6" style="1" customWidth="1"/>
    <col min="1550" max="1551" width="8.140625" style="1" customWidth="1"/>
    <col min="1552" max="1553" width="7" style="1" customWidth="1"/>
    <col min="1554" max="1555" width="6.7109375" style="1" customWidth="1"/>
    <col min="1556" max="1557" width="8.85546875" style="1" customWidth="1"/>
    <col min="1558" max="1559" width="7.5703125" style="1" customWidth="1"/>
    <col min="1560" max="1561" width="7.7109375" style="1" customWidth="1"/>
    <col min="1562" max="1778" width="9.140625" style="1"/>
    <col min="1779" max="1779" width="10.140625" style="1" customWidth="1"/>
    <col min="1780" max="1780" width="17.28515625" style="1" customWidth="1"/>
    <col min="1781" max="1781" width="9.42578125" style="1" customWidth="1"/>
    <col min="1782" max="1783" width="9" style="1" customWidth="1"/>
    <col min="1784" max="1785" width="7" style="1" customWidth="1"/>
    <col min="1786" max="1787" width="8.28515625" style="1" customWidth="1"/>
    <col min="1788" max="1797" width="7" style="1" customWidth="1"/>
    <col min="1798" max="1799" width="6.85546875" style="1" customWidth="1"/>
    <col min="1800" max="1801" width="6" style="1" customWidth="1"/>
    <col min="1802" max="1803" width="9.140625" style="1" customWidth="1"/>
    <col min="1804" max="1805" width="6" style="1" customWidth="1"/>
    <col min="1806" max="1807" width="8.140625" style="1" customWidth="1"/>
    <col min="1808" max="1809" width="7" style="1" customWidth="1"/>
    <col min="1810" max="1811" width="6.7109375" style="1" customWidth="1"/>
    <col min="1812" max="1813" width="8.85546875" style="1" customWidth="1"/>
    <col min="1814" max="1815" width="7.5703125" style="1" customWidth="1"/>
    <col min="1816" max="1817" width="7.7109375" style="1" customWidth="1"/>
    <col min="1818" max="2034" width="9.140625" style="1"/>
    <col min="2035" max="2035" width="10.140625" style="1" customWidth="1"/>
    <col min="2036" max="2036" width="17.28515625" style="1" customWidth="1"/>
    <col min="2037" max="2037" width="9.42578125" style="1" customWidth="1"/>
    <col min="2038" max="2039" width="9" style="1" customWidth="1"/>
    <col min="2040" max="2041" width="7" style="1" customWidth="1"/>
    <col min="2042" max="2043" width="8.28515625" style="1" customWidth="1"/>
    <col min="2044" max="2053" width="7" style="1" customWidth="1"/>
    <col min="2054" max="2055" width="6.85546875" style="1" customWidth="1"/>
    <col min="2056" max="2057" width="6" style="1" customWidth="1"/>
    <col min="2058" max="2059" width="9.140625" style="1" customWidth="1"/>
    <col min="2060" max="2061" width="6" style="1" customWidth="1"/>
    <col min="2062" max="2063" width="8.140625" style="1" customWidth="1"/>
    <col min="2064" max="2065" width="7" style="1" customWidth="1"/>
    <col min="2066" max="2067" width="6.7109375" style="1" customWidth="1"/>
    <col min="2068" max="2069" width="8.85546875" style="1" customWidth="1"/>
    <col min="2070" max="2071" width="7.5703125" style="1" customWidth="1"/>
    <col min="2072" max="2073" width="7.7109375" style="1" customWidth="1"/>
    <col min="2074" max="2290" width="9.140625" style="1"/>
    <col min="2291" max="2291" width="10.140625" style="1" customWidth="1"/>
    <col min="2292" max="2292" width="17.28515625" style="1" customWidth="1"/>
    <col min="2293" max="2293" width="9.42578125" style="1" customWidth="1"/>
    <col min="2294" max="2295" width="9" style="1" customWidth="1"/>
    <col min="2296" max="2297" width="7" style="1" customWidth="1"/>
    <col min="2298" max="2299" width="8.28515625" style="1" customWidth="1"/>
    <col min="2300" max="2309" width="7" style="1" customWidth="1"/>
    <col min="2310" max="2311" width="6.85546875" style="1" customWidth="1"/>
    <col min="2312" max="2313" width="6" style="1" customWidth="1"/>
    <col min="2314" max="2315" width="9.140625" style="1" customWidth="1"/>
    <col min="2316" max="2317" width="6" style="1" customWidth="1"/>
    <col min="2318" max="2319" width="8.140625" style="1" customWidth="1"/>
    <col min="2320" max="2321" width="7" style="1" customWidth="1"/>
    <col min="2322" max="2323" width="6.7109375" style="1" customWidth="1"/>
    <col min="2324" max="2325" width="8.85546875" style="1" customWidth="1"/>
    <col min="2326" max="2327" width="7.5703125" style="1" customWidth="1"/>
    <col min="2328" max="2329" width="7.7109375" style="1" customWidth="1"/>
    <col min="2330" max="2546" width="9.140625" style="1"/>
    <col min="2547" max="2547" width="10.140625" style="1" customWidth="1"/>
    <col min="2548" max="2548" width="17.28515625" style="1" customWidth="1"/>
    <col min="2549" max="2549" width="9.42578125" style="1" customWidth="1"/>
    <col min="2550" max="2551" width="9" style="1" customWidth="1"/>
    <col min="2552" max="2553" width="7" style="1" customWidth="1"/>
    <col min="2554" max="2555" width="8.28515625" style="1" customWidth="1"/>
    <col min="2556" max="2565" width="7" style="1" customWidth="1"/>
    <col min="2566" max="2567" width="6.85546875" style="1" customWidth="1"/>
    <col min="2568" max="2569" width="6" style="1" customWidth="1"/>
    <col min="2570" max="2571" width="9.140625" style="1" customWidth="1"/>
    <col min="2572" max="2573" width="6" style="1" customWidth="1"/>
    <col min="2574" max="2575" width="8.140625" style="1" customWidth="1"/>
    <col min="2576" max="2577" width="7" style="1" customWidth="1"/>
    <col min="2578" max="2579" width="6.7109375" style="1" customWidth="1"/>
    <col min="2580" max="2581" width="8.85546875" style="1" customWidth="1"/>
    <col min="2582" max="2583" width="7.5703125" style="1" customWidth="1"/>
    <col min="2584" max="2585" width="7.7109375" style="1" customWidth="1"/>
    <col min="2586" max="2802" width="9.140625" style="1"/>
    <col min="2803" max="2803" width="10.140625" style="1" customWidth="1"/>
    <col min="2804" max="2804" width="17.28515625" style="1" customWidth="1"/>
    <col min="2805" max="2805" width="9.42578125" style="1" customWidth="1"/>
    <col min="2806" max="2807" width="9" style="1" customWidth="1"/>
    <col min="2808" max="2809" width="7" style="1" customWidth="1"/>
    <col min="2810" max="2811" width="8.28515625" style="1" customWidth="1"/>
    <col min="2812" max="2821" width="7" style="1" customWidth="1"/>
    <col min="2822" max="2823" width="6.85546875" style="1" customWidth="1"/>
    <col min="2824" max="2825" width="6" style="1" customWidth="1"/>
    <col min="2826" max="2827" width="9.140625" style="1" customWidth="1"/>
    <col min="2828" max="2829" width="6" style="1" customWidth="1"/>
    <col min="2830" max="2831" width="8.140625" style="1" customWidth="1"/>
    <col min="2832" max="2833" width="7" style="1" customWidth="1"/>
    <col min="2834" max="2835" width="6.7109375" style="1" customWidth="1"/>
    <col min="2836" max="2837" width="8.85546875" style="1" customWidth="1"/>
    <col min="2838" max="2839" width="7.5703125" style="1" customWidth="1"/>
    <col min="2840" max="2841" width="7.7109375" style="1" customWidth="1"/>
    <col min="2842" max="3058" width="9.140625" style="1"/>
    <col min="3059" max="3059" width="10.140625" style="1" customWidth="1"/>
    <col min="3060" max="3060" width="17.28515625" style="1" customWidth="1"/>
    <col min="3061" max="3061" width="9.42578125" style="1" customWidth="1"/>
    <col min="3062" max="3063" width="9" style="1" customWidth="1"/>
    <col min="3064" max="3065" width="7" style="1" customWidth="1"/>
    <col min="3066" max="3067" width="8.28515625" style="1" customWidth="1"/>
    <col min="3068" max="3077" width="7" style="1" customWidth="1"/>
    <col min="3078" max="3079" width="6.85546875" style="1" customWidth="1"/>
    <col min="3080" max="3081" width="6" style="1" customWidth="1"/>
    <col min="3082" max="3083" width="9.140625" style="1" customWidth="1"/>
    <col min="3084" max="3085" width="6" style="1" customWidth="1"/>
    <col min="3086" max="3087" width="8.140625" style="1" customWidth="1"/>
    <col min="3088" max="3089" width="7" style="1" customWidth="1"/>
    <col min="3090" max="3091" width="6.7109375" style="1" customWidth="1"/>
    <col min="3092" max="3093" width="8.85546875" style="1" customWidth="1"/>
    <col min="3094" max="3095" width="7.5703125" style="1" customWidth="1"/>
    <col min="3096" max="3097" width="7.7109375" style="1" customWidth="1"/>
    <col min="3098" max="3314" width="9.140625" style="1"/>
    <col min="3315" max="3315" width="10.140625" style="1" customWidth="1"/>
    <col min="3316" max="3316" width="17.28515625" style="1" customWidth="1"/>
    <col min="3317" max="3317" width="9.42578125" style="1" customWidth="1"/>
    <col min="3318" max="3319" width="9" style="1" customWidth="1"/>
    <col min="3320" max="3321" width="7" style="1" customWidth="1"/>
    <col min="3322" max="3323" width="8.28515625" style="1" customWidth="1"/>
    <col min="3324" max="3333" width="7" style="1" customWidth="1"/>
    <col min="3334" max="3335" width="6.85546875" style="1" customWidth="1"/>
    <col min="3336" max="3337" width="6" style="1" customWidth="1"/>
    <col min="3338" max="3339" width="9.140625" style="1" customWidth="1"/>
    <col min="3340" max="3341" width="6" style="1" customWidth="1"/>
    <col min="3342" max="3343" width="8.140625" style="1" customWidth="1"/>
    <col min="3344" max="3345" width="7" style="1" customWidth="1"/>
    <col min="3346" max="3347" width="6.7109375" style="1" customWidth="1"/>
    <col min="3348" max="3349" width="8.85546875" style="1" customWidth="1"/>
    <col min="3350" max="3351" width="7.5703125" style="1" customWidth="1"/>
    <col min="3352" max="3353" width="7.7109375" style="1" customWidth="1"/>
    <col min="3354" max="3570" width="9.140625" style="1"/>
    <col min="3571" max="3571" width="10.140625" style="1" customWidth="1"/>
    <col min="3572" max="3572" width="17.28515625" style="1" customWidth="1"/>
    <col min="3573" max="3573" width="9.42578125" style="1" customWidth="1"/>
    <col min="3574" max="3575" width="9" style="1" customWidth="1"/>
    <col min="3576" max="3577" width="7" style="1" customWidth="1"/>
    <col min="3578" max="3579" width="8.28515625" style="1" customWidth="1"/>
    <col min="3580" max="3589" width="7" style="1" customWidth="1"/>
    <col min="3590" max="3591" width="6.85546875" style="1" customWidth="1"/>
    <col min="3592" max="3593" width="6" style="1" customWidth="1"/>
    <col min="3594" max="3595" width="9.140625" style="1" customWidth="1"/>
    <col min="3596" max="3597" width="6" style="1" customWidth="1"/>
    <col min="3598" max="3599" width="8.140625" style="1" customWidth="1"/>
    <col min="3600" max="3601" width="7" style="1" customWidth="1"/>
    <col min="3602" max="3603" width="6.7109375" style="1" customWidth="1"/>
    <col min="3604" max="3605" width="8.85546875" style="1" customWidth="1"/>
    <col min="3606" max="3607" width="7.5703125" style="1" customWidth="1"/>
    <col min="3608" max="3609" width="7.7109375" style="1" customWidth="1"/>
    <col min="3610" max="3826" width="9.140625" style="1"/>
    <col min="3827" max="3827" width="10.140625" style="1" customWidth="1"/>
    <col min="3828" max="3828" width="17.28515625" style="1" customWidth="1"/>
    <col min="3829" max="3829" width="9.42578125" style="1" customWidth="1"/>
    <col min="3830" max="3831" width="9" style="1" customWidth="1"/>
    <col min="3832" max="3833" width="7" style="1" customWidth="1"/>
    <col min="3834" max="3835" width="8.28515625" style="1" customWidth="1"/>
    <col min="3836" max="3845" width="7" style="1" customWidth="1"/>
    <col min="3846" max="3847" width="6.85546875" style="1" customWidth="1"/>
    <col min="3848" max="3849" width="6" style="1" customWidth="1"/>
    <col min="3850" max="3851" width="9.140625" style="1" customWidth="1"/>
    <col min="3852" max="3853" width="6" style="1" customWidth="1"/>
    <col min="3854" max="3855" width="8.140625" style="1" customWidth="1"/>
    <col min="3856" max="3857" width="7" style="1" customWidth="1"/>
    <col min="3858" max="3859" width="6.7109375" style="1" customWidth="1"/>
    <col min="3860" max="3861" width="8.85546875" style="1" customWidth="1"/>
    <col min="3862" max="3863" width="7.5703125" style="1" customWidth="1"/>
    <col min="3864" max="3865" width="7.7109375" style="1" customWidth="1"/>
    <col min="3866" max="4082" width="9.140625" style="1"/>
    <col min="4083" max="4083" width="10.140625" style="1" customWidth="1"/>
    <col min="4084" max="4084" width="17.28515625" style="1" customWidth="1"/>
    <col min="4085" max="4085" width="9.42578125" style="1" customWidth="1"/>
    <col min="4086" max="4087" width="9" style="1" customWidth="1"/>
    <col min="4088" max="4089" width="7" style="1" customWidth="1"/>
    <col min="4090" max="4091" width="8.28515625" style="1" customWidth="1"/>
    <col min="4092" max="4101" width="7" style="1" customWidth="1"/>
    <col min="4102" max="4103" width="6.85546875" style="1" customWidth="1"/>
    <col min="4104" max="4105" width="6" style="1" customWidth="1"/>
    <col min="4106" max="4107" width="9.140625" style="1" customWidth="1"/>
    <col min="4108" max="4109" width="6" style="1" customWidth="1"/>
    <col min="4110" max="4111" width="8.140625" style="1" customWidth="1"/>
    <col min="4112" max="4113" width="7" style="1" customWidth="1"/>
    <col min="4114" max="4115" width="6.7109375" style="1" customWidth="1"/>
    <col min="4116" max="4117" width="8.85546875" style="1" customWidth="1"/>
    <col min="4118" max="4119" width="7.5703125" style="1" customWidth="1"/>
    <col min="4120" max="4121" width="7.7109375" style="1" customWidth="1"/>
    <col min="4122" max="4338" width="9.140625" style="1"/>
    <col min="4339" max="4339" width="10.140625" style="1" customWidth="1"/>
    <col min="4340" max="4340" width="17.28515625" style="1" customWidth="1"/>
    <col min="4341" max="4341" width="9.42578125" style="1" customWidth="1"/>
    <col min="4342" max="4343" width="9" style="1" customWidth="1"/>
    <col min="4344" max="4345" width="7" style="1" customWidth="1"/>
    <col min="4346" max="4347" width="8.28515625" style="1" customWidth="1"/>
    <col min="4348" max="4357" width="7" style="1" customWidth="1"/>
    <col min="4358" max="4359" width="6.85546875" style="1" customWidth="1"/>
    <col min="4360" max="4361" width="6" style="1" customWidth="1"/>
    <col min="4362" max="4363" width="9.140625" style="1" customWidth="1"/>
    <col min="4364" max="4365" width="6" style="1" customWidth="1"/>
    <col min="4366" max="4367" width="8.140625" style="1" customWidth="1"/>
    <col min="4368" max="4369" width="7" style="1" customWidth="1"/>
    <col min="4370" max="4371" width="6.7109375" style="1" customWidth="1"/>
    <col min="4372" max="4373" width="8.85546875" style="1" customWidth="1"/>
    <col min="4374" max="4375" width="7.5703125" style="1" customWidth="1"/>
    <col min="4376" max="4377" width="7.7109375" style="1" customWidth="1"/>
    <col min="4378" max="4594" width="9.140625" style="1"/>
    <col min="4595" max="4595" width="10.140625" style="1" customWidth="1"/>
    <col min="4596" max="4596" width="17.28515625" style="1" customWidth="1"/>
    <col min="4597" max="4597" width="9.42578125" style="1" customWidth="1"/>
    <col min="4598" max="4599" width="9" style="1" customWidth="1"/>
    <col min="4600" max="4601" width="7" style="1" customWidth="1"/>
    <col min="4602" max="4603" width="8.28515625" style="1" customWidth="1"/>
    <col min="4604" max="4613" width="7" style="1" customWidth="1"/>
    <col min="4614" max="4615" width="6.85546875" style="1" customWidth="1"/>
    <col min="4616" max="4617" width="6" style="1" customWidth="1"/>
    <col min="4618" max="4619" width="9.140625" style="1" customWidth="1"/>
    <col min="4620" max="4621" width="6" style="1" customWidth="1"/>
    <col min="4622" max="4623" width="8.140625" style="1" customWidth="1"/>
    <col min="4624" max="4625" width="7" style="1" customWidth="1"/>
    <col min="4626" max="4627" width="6.7109375" style="1" customWidth="1"/>
    <col min="4628" max="4629" width="8.85546875" style="1" customWidth="1"/>
    <col min="4630" max="4631" width="7.5703125" style="1" customWidth="1"/>
    <col min="4632" max="4633" width="7.7109375" style="1" customWidth="1"/>
    <col min="4634" max="4850" width="9.140625" style="1"/>
    <col min="4851" max="4851" width="10.140625" style="1" customWidth="1"/>
    <col min="4852" max="4852" width="17.28515625" style="1" customWidth="1"/>
    <col min="4853" max="4853" width="9.42578125" style="1" customWidth="1"/>
    <col min="4854" max="4855" width="9" style="1" customWidth="1"/>
    <col min="4856" max="4857" width="7" style="1" customWidth="1"/>
    <col min="4858" max="4859" width="8.28515625" style="1" customWidth="1"/>
    <col min="4860" max="4869" width="7" style="1" customWidth="1"/>
    <col min="4870" max="4871" width="6.85546875" style="1" customWidth="1"/>
    <col min="4872" max="4873" width="6" style="1" customWidth="1"/>
    <col min="4874" max="4875" width="9.140625" style="1" customWidth="1"/>
    <col min="4876" max="4877" width="6" style="1" customWidth="1"/>
    <col min="4878" max="4879" width="8.140625" style="1" customWidth="1"/>
    <col min="4880" max="4881" width="7" style="1" customWidth="1"/>
    <col min="4882" max="4883" width="6.7109375" style="1" customWidth="1"/>
    <col min="4884" max="4885" width="8.85546875" style="1" customWidth="1"/>
    <col min="4886" max="4887" width="7.5703125" style="1" customWidth="1"/>
    <col min="4888" max="4889" width="7.7109375" style="1" customWidth="1"/>
    <col min="4890" max="5106" width="9.140625" style="1"/>
    <col min="5107" max="5107" width="10.140625" style="1" customWidth="1"/>
    <col min="5108" max="5108" width="17.28515625" style="1" customWidth="1"/>
    <col min="5109" max="5109" width="9.42578125" style="1" customWidth="1"/>
    <col min="5110" max="5111" width="9" style="1" customWidth="1"/>
    <col min="5112" max="5113" width="7" style="1" customWidth="1"/>
    <col min="5114" max="5115" width="8.28515625" style="1" customWidth="1"/>
    <col min="5116" max="5125" width="7" style="1" customWidth="1"/>
    <col min="5126" max="5127" width="6.85546875" style="1" customWidth="1"/>
    <col min="5128" max="5129" width="6" style="1" customWidth="1"/>
    <col min="5130" max="5131" width="9.140625" style="1" customWidth="1"/>
    <col min="5132" max="5133" width="6" style="1" customWidth="1"/>
    <col min="5134" max="5135" width="8.140625" style="1" customWidth="1"/>
    <col min="5136" max="5137" width="7" style="1" customWidth="1"/>
    <col min="5138" max="5139" width="6.7109375" style="1" customWidth="1"/>
    <col min="5140" max="5141" width="8.85546875" style="1" customWidth="1"/>
    <col min="5142" max="5143" width="7.5703125" style="1" customWidth="1"/>
    <col min="5144" max="5145" width="7.7109375" style="1" customWidth="1"/>
    <col min="5146" max="5362" width="9.140625" style="1"/>
    <col min="5363" max="5363" width="10.140625" style="1" customWidth="1"/>
    <col min="5364" max="5364" width="17.28515625" style="1" customWidth="1"/>
    <col min="5365" max="5365" width="9.42578125" style="1" customWidth="1"/>
    <col min="5366" max="5367" width="9" style="1" customWidth="1"/>
    <col min="5368" max="5369" width="7" style="1" customWidth="1"/>
    <col min="5370" max="5371" width="8.28515625" style="1" customWidth="1"/>
    <col min="5372" max="5381" width="7" style="1" customWidth="1"/>
    <col min="5382" max="5383" width="6.85546875" style="1" customWidth="1"/>
    <col min="5384" max="5385" width="6" style="1" customWidth="1"/>
    <col min="5386" max="5387" width="9.140625" style="1" customWidth="1"/>
    <col min="5388" max="5389" width="6" style="1" customWidth="1"/>
    <col min="5390" max="5391" width="8.140625" style="1" customWidth="1"/>
    <col min="5392" max="5393" width="7" style="1" customWidth="1"/>
    <col min="5394" max="5395" width="6.7109375" style="1" customWidth="1"/>
    <col min="5396" max="5397" width="8.85546875" style="1" customWidth="1"/>
    <col min="5398" max="5399" width="7.5703125" style="1" customWidth="1"/>
    <col min="5400" max="5401" width="7.7109375" style="1" customWidth="1"/>
    <col min="5402" max="5618" width="9.140625" style="1"/>
    <col min="5619" max="5619" width="10.140625" style="1" customWidth="1"/>
    <col min="5620" max="5620" width="17.28515625" style="1" customWidth="1"/>
    <col min="5621" max="5621" width="9.42578125" style="1" customWidth="1"/>
    <col min="5622" max="5623" width="9" style="1" customWidth="1"/>
    <col min="5624" max="5625" width="7" style="1" customWidth="1"/>
    <col min="5626" max="5627" width="8.28515625" style="1" customWidth="1"/>
    <col min="5628" max="5637" width="7" style="1" customWidth="1"/>
    <col min="5638" max="5639" width="6.85546875" style="1" customWidth="1"/>
    <col min="5640" max="5641" width="6" style="1" customWidth="1"/>
    <col min="5642" max="5643" width="9.140625" style="1" customWidth="1"/>
    <col min="5644" max="5645" width="6" style="1" customWidth="1"/>
    <col min="5646" max="5647" width="8.140625" style="1" customWidth="1"/>
    <col min="5648" max="5649" width="7" style="1" customWidth="1"/>
    <col min="5650" max="5651" width="6.7109375" style="1" customWidth="1"/>
    <col min="5652" max="5653" width="8.85546875" style="1" customWidth="1"/>
    <col min="5654" max="5655" width="7.5703125" style="1" customWidth="1"/>
    <col min="5656" max="5657" width="7.7109375" style="1" customWidth="1"/>
    <col min="5658" max="5874" width="9.140625" style="1"/>
    <col min="5875" max="5875" width="10.140625" style="1" customWidth="1"/>
    <col min="5876" max="5876" width="17.28515625" style="1" customWidth="1"/>
    <col min="5877" max="5877" width="9.42578125" style="1" customWidth="1"/>
    <col min="5878" max="5879" width="9" style="1" customWidth="1"/>
    <col min="5880" max="5881" width="7" style="1" customWidth="1"/>
    <col min="5882" max="5883" width="8.28515625" style="1" customWidth="1"/>
    <col min="5884" max="5893" width="7" style="1" customWidth="1"/>
    <col min="5894" max="5895" width="6.85546875" style="1" customWidth="1"/>
    <col min="5896" max="5897" width="6" style="1" customWidth="1"/>
    <col min="5898" max="5899" width="9.140625" style="1" customWidth="1"/>
    <col min="5900" max="5901" width="6" style="1" customWidth="1"/>
    <col min="5902" max="5903" width="8.140625" style="1" customWidth="1"/>
    <col min="5904" max="5905" width="7" style="1" customWidth="1"/>
    <col min="5906" max="5907" width="6.7109375" style="1" customWidth="1"/>
    <col min="5908" max="5909" width="8.85546875" style="1" customWidth="1"/>
    <col min="5910" max="5911" width="7.5703125" style="1" customWidth="1"/>
    <col min="5912" max="5913" width="7.7109375" style="1" customWidth="1"/>
    <col min="5914" max="6130" width="9.140625" style="1"/>
    <col min="6131" max="6131" width="10.140625" style="1" customWidth="1"/>
    <col min="6132" max="6132" width="17.28515625" style="1" customWidth="1"/>
    <col min="6133" max="6133" width="9.42578125" style="1" customWidth="1"/>
    <col min="6134" max="6135" width="9" style="1" customWidth="1"/>
    <col min="6136" max="6137" width="7" style="1" customWidth="1"/>
    <col min="6138" max="6139" width="8.28515625" style="1" customWidth="1"/>
    <col min="6140" max="6149" width="7" style="1" customWidth="1"/>
    <col min="6150" max="6151" width="6.85546875" style="1" customWidth="1"/>
    <col min="6152" max="6153" width="6" style="1" customWidth="1"/>
    <col min="6154" max="6155" width="9.140625" style="1" customWidth="1"/>
    <col min="6156" max="6157" width="6" style="1" customWidth="1"/>
    <col min="6158" max="6159" width="8.140625" style="1" customWidth="1"/>
    <col min="6160" max="6161" width="7" style="1" customWidth="1"/>
    <col min="6162" max="6163" width="6.7109375" style="1" customWidth="1"/>
    <col min="6164" max="6165" width="8.85546875" style="1" customWidth="1"/>
    <col min="6166" max="6167" width="7.5703125" style="1" customWidth="1"/>
    <col min="6168" max="6169" width="7.7109375" style="1" customWidth="1"/>
    <col min="6170" max="6386" width="9.140625" style="1"/>
    <col min="6387" max="6387" width="10.140625" style="1" customWidth="1"/>
    <col min="6388" max="6388" width="17.28515625" style="1" customWidth="1"/>
    <col min="6389" max="6389" width="9.42578125" style="1" customWidth="1"/>
    <col min="6390" max="6391" width="9" style="1" customWidth="1"/>
    <col min="6392" max="6393" width="7" style="1" customWidth="1"/>
    <col min="6394" max="6395" width="8.28515625" style="1" customWidth="1"/>
    <col min="6396" max="6405" width="7" style="1" customWidth="1"/>
    <col min="6406" max="6407" width="6.85546875" style="1" customWidth="1"/>
    <col min="6408" max="6409" width="6" style="1" customWidth="1"/>
    <col min="6410" max="6411" width="9.140625" style="1" customWidth="1"/>
    <col min="6412" max="6413" width="6" style="1" customWidth="1"/>
    <col min="6414" max="6415" width="8.140625" style="1" customWidth="1"/>
    <col min="6416" max="6417" width="7" style="1" customWidth="1"/>
    <col min="6418" max="6419" width="6.7109375" style="1" customWidth="1"/>
    <col min="6420" max="6421" width="8.85546875" style="1" customWidth="1"/>
    <col min="6422" max="6423" width="7.5703125" style="1" customWidth="1"/>
    <col min="6424" max="6425" width="7.7109375" style="1" customWidth="1"/>
    <col min="6426" max="6642" width="9.140625" style="1"/>
    <col min="6643" max="6643" width="10.140625" style="1" customWidth="1"/>
    <col min="6644" max="6644" width="17.28515625" style="1" customWidth="1"/>
    <col min="6645" max="6645" width="9.42578125" style="1" customWidth="1"/>
    <col min="6646" max="6647" width="9" style="1" customWidth="1"/>
    <col min="6648" max="6649" width="7" style="1" customWidth="1"/>
    <col min="6650" max="6651" width="8.28515625" style="1" customWidth="1"/>
    <col min="6652" max="6661" width="7" style="1" customWidth="1"/>
    <col min="6662" max="6663" width="6.85546875" style="1" customWidth="1"/>
    <col min="6664" max="6665" width="6" style="1" customWidth="1"/>
    <col min="6666" max="6667" width="9.140625" style="1" customWidth="1"/>
    <col min="6668" max="6669" width="6" style="1" customWidth="1"/>
    <col min="6670" max="6671" width="8.140625" style="1" customWidth="1"/>
    <col min="6672" max="6673" width="7" style="1" customWidth="1"/>
    <col min="6674" max="6675" width="6.7109375" style="1" customWidth="1"/>
    <col min="6676" max="6677" width="8.85546875" style="1" customWidth="1"/>
    <col min="6678" max="6679" width="7.5703125" style="1" customWidth="1"/>
    <col min="6680" max="6681" width="7.7109375" style="1" customWidth="1"/>
    <col min="6682" max="6898" width="9.140625" style="1"/>
    <col min="6899" max="6899" width="10.140625" style="1" customWidth="1"/>
    <col min="6900" max="6900" width="17.28515625" style="1" customWidth="1"/>
    <col min="6901" max="6901" width="9.42578125" style="1" customWidth="1"/>
    <col min="6902" max="6903" width="9" style="1" customWidth="1"/>
    <col min="6904" max="6905" width="7" style="1" customWidth="1"/>
    <col min="6906" max="6907" width="8.28515625" style="1" customWidth="1"/>
    <col min="6908" max="6917" width="7" style="1" customWidth="1"/>
    <col min="6918" max="6919" width="6.85546875" style="1" customWidth="1"/>
    <col min="6920" max="6921" width="6" style="1" customWidth="1"/>
    <col min="6922" max="6923" width="9.140625" style="1" customWidth="1"/>
    <col min="6924" max="6925" width="6" style="1" customWidth="1"/>
    <col min="6926" max="6927" width="8.140625" style="1" customWidth="1"/>
    <col min="6928" max="6929" width="7" style="1" customWidth="1"/>
    <col min="6930" max="6931" width="6.7109375" style="1" customWidth="1"/>
    <col min="6932" max="6933" width="8.85546875" style="1" customWidth="1"/>
    <col min="6934" max="6935" width="7.5703125" style="1" customWidth="1"/>
    <col min="6936" max="6937" width="7.7109375" style="1" customWidth="1"/>
    <col min="6938" max="7154" width="9.140625" style="1"/>
    <col min="7155" max="7155" width="10.140625" style="1" customWidth="1"/>
    <col min="7156" max="7156" width="17.28515625" style="1" customWidth="1"/>
    <col min="7157" max="7157" width="9.42578125" style="1" customWidth="1"/>
    <col min="7158" max="7159" width="9" style="1" customWidth="1"/>
    <col min="7160" max="7161" width="7" style="1" customWidth="1"/>
    <col min="7162" max="7163" width="8.28515625" style="1" customWidth="1"/>
    <col min="7164" max="7173" width="7" style="1" customWidth="1"/>
    <col min="7174" max="7175" width="6.85546875" style="1" customWidth="1"/>
    <col min="7176" max="7177" width="6" style="1" customWidth="1"/>
    <col min="7178" max="7179" width="9.140625" style="1" customWidth="1"/>
    <col min="7180" max="7181" width="6" style="1" customWidth="1"/>
    <col min="7182" max="7183" width="8.140625" style="1" customWidth="1"/>
    <col min="7184" max="7185" width="7" style="1" customWidth="1"/>
    <col min="7186" max="7187" width="6.7109375" style="1" customWidth="1"/>
    <col min="7188" max="7189" width="8.85546875" style="1" customWidth="1"/>
    <col min="7190" max="7191" width="7.5703125" style="1" customWidth="1"/>
    <col min="7192" max="7193" width="7.7109375" style="1" customWidth="1"/>
    <col min="7194" max="7410" width="9.140625" style="1"/>
    <col min="7411" max="7411" width="10.140625" style="1" customWidth="1"/>
    <col min="7412" max="7412" width="17.28515625" style="1" customWidth="1"/>
    <col min="7413" max="7413" width="9.42578125" style="1" customWidth="1"/>
    <col min="7414" max="7415" width="9" style="1" customWidth="1"/>
    <col min="7416" max="7417" width="7" style="1" customWidth="1"/>
    <col min="7418" max="7419" width="8.28515625" style="1" customWidth="1"/>
    <col min="7420" max="7429" width="7" style="1" customWidth="1"/>
    <col min="7430" max="7431" width="6.85546875" style="1" customWidth="1"/>
    <col min="7432" max="7433" width="6" style="1" customWidth="1"/>
    <col min="7434" max="7435" width="9.140625" style="1" customWidth="1"/>
    <col min="7436" max="7437" width="6" style="1" customWidth="1"/>
    <col min="7438" max="7439" width="8.140625" style="1" customWidth="1"/>
    <col min="7440" max="7441" width="7" style="1" customWidth="1"/>
    <col min="7442" max="7443" width="6.7109375" style="1" customWidth="1"/>
    <col min="7444" max="7445" width="8.85546875" style="1" customWidth="1"/>
    <col min="7446" max="7447" width="7.5703125" style="1" customWidth="1"/>
    <col min="7448" max="7449" width="7.7109375" style="1" customWidth="1"/>
    <col min="7450" max="7666" width="9.140625" style="1"/>
    <col min="7667" max="7667" width="10.140625" style="1" customWidth="1"/>
    <col min="7668" max="7668" width="17.28515625" style="1" customWidth="1"/>
    <col min="7669" max="7669" width="9.42578125" style="1" customWidth="1"/>
    <col min="7670" max="7671" width="9" style="1" customWidth="1"/>
    <col min="7672" max="7673" width="7" style="1" customWidth="1"/>
    <col min="7674" max="7675" width="8.28515625" style="1" customWidth="1"/>
    <col min="7676" max="7685" width="7" style="1" customWidth="1"/>
    <col min="7686" max="7687" width="6.85546875" style="1" customWidth="1"/>
    <col min="7688" max="7689" width="6" style="1" customWidth="1"/>
    <col min="7690" max="7691" width="9.140625" style="1" customWidth="1"/>
    <col min="7692" max="7693" width="6" style="1" customWidth="1"/>
    <col min="7694" max="7695" width="8.140625" style="1" customWidth="1"/>
    <col min="7696" max="7697" width="7" style="1" customWidth="1"/>
    <col min="7698" max="7699" width="6.7109375" style="1" customWidth="1"/>
    <col min="7700" max="7701" width="8.85546875" style="1" customWidth="1"/>
    <col min="7702" max="7703" width="7.5703125" style="1" customWidth="1"/>
    <col min="7704" max="7705" width="7.7109375" style="1" customWidth="1"/>
    <col min="7706" max="7922" width="9.140625" style="1"/>
    <col min="7923" max="7923" width="10.140625" style="1" customWidth="1"/>
    <col min="7924" max="7924" width="17.28515625" style="1" customWidth="1"/>
    <col min="7925" max="7925" width="9.42578125" style="1" customWidth="1"/>
    <col min="7926" max="7927" width="9" style="1" customWidth="1"/>
    <col min="7928" max="7929" width="7" style="1" customWidth="1"/>
    <col min="7930" max="7931" width="8.28515625" style="1" customWidth="1"/>
    <col min="7932" max="7941" width="7" style="1" customWidth="1"/>
    <col min="7942" max="7943" width="6.85546875" style="1" customWidth="1"/>
    <col min="7944" max="7945" width="6" style="1" customWidth="1"/>
    <col min="7946" max="7947" width="9.140625" style="1" customWidth="1"/>
    <col min="7948" max="7949" width="6" style="1" customWidth="1"/>
    <col min="7950" max="7951" width="8.140625" style="1" customWidth="1"/>
    <col min="7952" max="7953" width="7" style="1" customWidth="1"/>
    <col min="7954" max="7955" width="6.7109375" style="1" customWidth="1"/>
    <col min="7956" max="7957" width="8.85546875" style="1" customWidth="1"/>
    <col min="7958" max="7959" width="7.5703125" style="1" customWidth="1"/>
    <col min="7960" max="7961" width="7.7109375" style="1" customWidth="1"/>
    <col min="7962" max="8178" width="9.140625" style="1"/>
    <col min="8179" max="8179" width="10.140625" style="1" customWidth="1"/>
    <col min="8180" max="8180" width="17.28515625" style="1" customWidth="1"/>
    <col min="8181" max="8181" width="9.42578125" style="1" customWidth="1"/>
    <col min="8182" max="8183" width="9" style="1" customWidth="1"/>
    <col min="8184" max="8185" width="7" style="1" customWidth="1"/>
    <col min="8186" max="8187" width="8.28515625" style="1" customWidth="1"/>
    <col min="8188" max="8197" width="7" style="1" customWidth="1"/>
    <col min="8198" max="8199" width="6.85546875" style="1" customWidth="1"/>
    <col min="8200" max="8201" width="6" style="1" customWidth="1"/>
    <col min="8202" max="8203" width="9.140625" style="1" customWidth="1"/>
    <col min="8204" max="8205" width="6" style="1" customWidth="1"/>
    <col min="8206" max="8207" width="8.140625" style="1" customWidth="1"/>
    <col min="8208" max="8209" width="7" style="1" customWidth="1"/>
    <col min="8210" max="8211" width="6.7109375" style="1" customWidth="1"/>
    <col min="8212" max="8213" width="8.85546875" style="1" customWidth="1"/>
    <col min="8214" max="8215" width="7.5703125" style="1" customWidth="1"/>
    <col min="8216" max="8217" width="7.7109375" style="1" customWidth="1"/>
    <col min="8218" max="8434" width="9.140625" style="1"/>
    <col min="8435" max="8435" width="10.140625" style="1" customWidth="1"/>
    <col min="8436" max="8436" width="17.28515625" style="1" customWidth="1"/>
    <col min="8437" max="8437" width="9.42578125" style="1" customWidth="1"/>
    <col min="8438" max="8439" width="9" style="1" customWidth="1"/>
    <col min="8440" max="8441" width="7" style="1" customWidth="1"/>
    <col min="8442" max="8443" width="8.28515625" style="1" customWidth="1"/>
    <col min="8444" max="8453" width="7" style="1" customWidth="1"/>
    <col min="8454" max="8455" width="6.85546875" style="1" customWidth="1"/>
    <col min="8456" max="8457" width="6" style="1" customWidth="1"/>
    <col min="8458" max="8459" width="9.140625" style="1" customWidth="1"/>
    <col min="8460" max="8461" width="6" style="1" customWidth="1"/>
    <col min="8462" max="8463" width="8.140625" style="1" customWidth="1"/>
    <col min="8464" max="8465" width="7" style="1" customWidth="1"/>
    <col min="8466" max="8467" width="6.7109375" style="1" customWidth="1"/>
    <col min="8468" max="8469" width="8.85546875" style="1" customWidth="1"/>
    <col min="8470" max="8471" width="7.5703125" style="1" customWidth="1"/>
    <col min="8472" max="8473" width="7.7109375" style="1" customWidth="1"/>
    <col min="8474" max="8690" width="9.140625" style="1"/>
    <col min="8691" max="8691" width="10.140625" style="1" customWidth="1"/>
    <col min="8692" max="8692" width="17.28515625" style="1" customWidth="1"/>
    <col min="8693" max="8693" width="9.42578125" style="1" customWidth="1"/>
    <col min="8694" max="8695" width="9" style="1" customWidth="1"/>
    <col min="8696" max="8697" width="7" style="1" customWidth="1"/>
    <col min="8698" max="8699" width="8.28515625" style="1" customWidth="1"/>
    <col min="8700" max="8709" width="7" style="1" customWidth="1"/>
    <col min="8710" max="8711" width="6.85546875" style="1" customWidth="1"/>
    <col min="8712" max="8713" width="6" style="1" customWidth="1"/>
    <col min="8714" max="8715" width="9.140625" style="1" customWidth="1"/>
    <col min="8716" max="8717" width="6" style="1" customWidth="1"/>
    <col min="8718" max="8719" width="8.140625" style="1" customWidth="1"/>
    <col min="8720" max="8721" width="7" style="1" customWidth="1"/>
    <col min="8722" max="8723" width="6.7109375" style="1" customWidth="1"/>
    <col min="8724" max="8725" width="8.85546875" style="1" customWidth="1"/>
    <col min="8726" max="8727" width="7.5703125" style="1" customWidth="1"/>
    <col min="8728" max="8729" width="7.7109375" style="1" customWidth="1"/>
    <col min="8730" max="8946" width="9.140625" style="1"/>
    <col min="8947" max="8947" width="10.140625" style="1" customWidth="1"/>
    <col min="8948" max="8948" width="17.28515625" style="1" customWidth="1"/>
    <col min="8949" max="8949" width="9.42578125" style="1" customWidth="1"/>
    <col min="8950" max="8951" width="9" style="1" customWidth="1"/>
    <col min="8952" max="8953" width="7" style="1" customWidth="1"/>
    <col min="8954" max="8955" width="8.28515625" style="1" customWidth="1"/>
    <col min="8956" max="8965" width="7" style="1" customWidth="1"/>
    <col min="8966" max="8967" width="6.85546875" style="1" customWidth="1"/>
    <col min="8968" max="8969" width="6" style="1" customWidth="1"/>
    <col min="8970" max="8971" width="9.140625" style="1" customWidth="1"/>
    <col min="8972" max="8973" width="6" style="1" customWidth="1"/>
    <col min="8974" max="8975" width="8.140625" style="1" customWidth="1"/>
    <col min="8976" max="8977" width="7" style="1" customWidth="1"/>
    <col min="8978" max="8979" width="6.7109375" style="1" customWidth="1"/>
    <col min="8980" max="8981" width="8.85546875" style="1" customWidth="1"/>
    <col min="8982" max="8983" width="7.5703125" style="1" customWidth="1"/>
    <col min="8984" max="8985" width="7.7109375" style="1" customWidth="1"/>
    <col min="8986" max="9202" width="9.140625" style="1"/>
    <col min="9203" max="9203" width="10.140625" style="1" customWidth="1"/>
    <col min="9204" max="9204" width="17.28515625" style="1" customWidth="1"/>
    <col min="9205" max="9205" width="9.42578125" style="1" customWidth="1"/>
    <col min="9206" max="9207" width="9" style="1" customWidth="1"/>
    <col min="9208" max="9209" width="7" style="1" customWidth="1"/>
    <col min="9210" max="9211" width="8.28515625" style="1" customWidth="1"/>
    <col min="9212" max="9221" width="7" style="1" customWidth="1"/>
    <col min="9222" max="9223" width="6.85546875" style="1" customWidth="1"/>
    <col min="9224" max="9225" width="6" style="1" customWidth="1"/>
    <col min="9226" max="9227" width="9.140625" style="1" customWidth="1"/>
    <col min="9228" max="9229" width="6" style="1" customWidth="1"/>
    <col min="9230" max="9231" width="8.140625" style="1" customWidth="1"/>
    <col min="9232" max="9233" width="7" style="1" customWidth="1"/>
    <col min="9234" max="9235" width="6.7109375" style="1" customWidth="1"/>
    <col min="9236" max="9237" width="8.85546875" style="1" customWidth="1"/>
    <col min="9238" max="9239" width="7.5703125" style="1" customWidth="1"/>
    <col min="9240" max="9241" width="7.7109375" style="1" customWidth="1"/>
    <col min="9242" max="9458" width="9.140625" style="1"/>
    <col min="9459" max="9459" width="10.140625" style="1" customWidth="1"/>
    <col min="9460" max="9460" width="17.28515625" style="1" customWidth="1"/>
    <col min="9461" max="9461" width="9.42578125" style="1" customWidth="1"/>
    <col min="9462" max="9463" width="9" style="1" customWidth="1"/>
    <col min="9464" max="9465" width="7" style="1" customWidth="1"/>
    <col min="9466" max="9467" width="8.28515625" style="1" customWidth="1"/>
    <col min="9468" max="9477" width="7" style="1" customWidth="1"/>
    <col min="9478" max="9479" width="6.85546875" style="1" customWidth="1"/>
    <col min="9480" max="9481" width="6" style="1" customWidth="1"/>
    <col min="9482" max="9483" width="9.140625" style="1" customWidth="1"/>
    <col min="9484" max="9485" width="6" style="1" customWidth="1"/>
    <col min="9486" max="9487" width="8.140625" style="1" customWidth="1"/>
    <col min="9488" max="9489" width="7" style="1" customWidth="1"/>
    <col min="9490" max="9491" width="6.7109375" style="1" customWidth="1"/>
    <col min="9492" max="9493" width="8.85546875" style="1" customWidth="1"/>
    <col min="9494" max="9495" width="7.5703125" style="1" customWidth="1"/>
    <col min="9496" max="9497" width="7.7109375" style="1" customWidth="1"/>
    <col min="9498" max="9714" width="9.140625" style="1"/>
    <col min="9715" max="9715" width="10.140625" style="1" customWidth="1"/>
    <col min="9716" max="9716" width="17.28515625" style="1" customWidth="1"/>
    <col min="9717" max="9717" width="9.42578125" style="1" customWidth="1"/>
    <col min="9718" max="9719" width="9" style="1" customWidth="1"/>
    <col min="9720" max="9721" width="7" style="1" customWidth="1"/>
    <col min="9722" max="9723" width="8.28515625" style="1" customWidth="1"/>
    <col min="9724" max="9733" width="7" style="1" customWidth="1"/>
    <col min="9734" max="9735" width="6.85546875" style="1" customWidth="1"/>
    <col min="9736" max="9737" width="6" style="1" customWidth="1"/>
    <col min="9738" max="9739" width="9.140625" style="1" customWidth="1"/>
    <col min="9740" max="9741" width="6" style="1" customWidth="1"/>
    <col min="9742" max="9743" width="8.140625" style="1" customWidth="1"/>
    <col min="9744" max="9745" width="7" style="1" customWidth="1"/>
    <col min="9746" max="9747" width="6.7109375" style="1" customWidth="1"/>
    <col min="9748" max="9749" width="8.85546875" style="1" customWidth="1"/>
    <col min="9750" max="9751" width="7.5703125" style="1" customWidth="1"/>
    <col min="9752" max="9753" width="7.7109375" style="1" customWidth="1"/>
    <col min="9754" max="9970" width="9.140625" style="1"/>
    <col min="9971" max="9971" width="10.140625" style="1" customWidth="1"/>
    <col min="9972" max="9972" width="17.28515625" style="1" customWidth="1"/>
    <col min="9973" max="9973" width="9.42578125" style="1" customWidth="1"/>
    <col min="9974" max="9975" width="9" style="1" customWidth="1"/>
    <col min="9976" max="9977" width="7" style="1" customWidth="1"/>
    <col min="9978" max="9979" width="8.28515625" style="1" customWidth="1"/>
    <col min="9980" max="9989" width="7" style="1" customWidth="1"/>
    <col min="9990" max="9991" width="6.85546875" style="1" customWidth="1"/>
    <col min="9992" max="9993" width="6" style="1" customWidth="1"/>
    <col min="9994" max="9995" width="9.140625" style="1" customWidth="1"/>
    <col min="9996" max="9997" width="6" style="1" customWidth="1"/>
    <col min="9998" max="9999" width="8.140625" style="1" customWidth="1"/>
    <col min="10000" max="10001" width="7" style="1" customWidth="1"/>
    <col min="10002" max="10003" width="6.7109375" style="1" customWidth="1"/>
    <col min="10004" max="10005" width="8.85546875" style="1" customWidth="1"/>
    <col min="10006" max="10007" width="7.5703125" style="1" customWidth="1"/>
    <col min="10008" max="10009" width="7.7109375" style="1" customWidth="1"/>
    <col min="10010" max="10226" width="9.140625" style="1"/>
    <col min="10227" max="10227" width="10.140625" style="1" customWidth="1"/>
    <col min="10228" max="10228" width="17.28515625" style="1" customWidth="1"/>
    <col min="10229" max="10229" width="9.42578125" style="1" customWidth="1"/>
    <col min="10230" max="10231" width="9" style="1" customWidth="1"/>
    <col min="10232" max="10233" width="7" style="1" customWidth="1"/>
    <col min="10234" max="10235" width="8.28515625" style="1" customWidth="1"/>
    <col min="10236" max="10245" width="7" style="1" customWidth="1"/>
    <col min="10246" max="10247" width="6.85546875" style="1" customWidth="1"/>
    <col min="10248" max="10249" width="6" style="1" customWidth="1"/>
    <col min="10250" max="10251" width="9.140625" style="1" customWidth="1"/>
    <col min="10252" max="10253" width="6" style="1" customWidth="1"/>
    <col min="10254" max="10255" width="8.140625" style="1" customWidth="1"/>
    <col min="10256" max="10257" width="7" style="1" customWidth="1"/>
    <col min="10258" max="10259" width="6.7109375" style="1" customWidth="1"/>
    <col min="10260" max="10261" width="8.85546875" style="1" customWidth="1"/>
    <col min="10262" max="10263" width="7.5703125" style="1" customWidth="1"/>
    <col min="10264" max="10265" width="7.7109375" style="1" customWidth="1"/>
    <col min="10266" max="10482" width="9.140625" style="1"/>
    <col min="10483" max="10483" width="10.140625" style="1" customWidth="1"/>
    <col min="10484" max="10484" width="17.28515625" style="1" customWidth="1"/>
    <col min="10485" max="10485" width="9.42578125" style="1" customWidth="1"/>
    <col min="10486" max="10487" width="9" style="1" customWidth="1"/>
    <col min="10488" max="10489" width="7" style="1" customWidth="1"/>
    <col min="10490" max="10491" width="8.28515625" style="1" customWidth="1"/>
    <col min="10492" max="10501" width="7" style="1" customWidth="1"/>
    <col min="10502" max="10503" width="6.85546875" style="1" customWidth="1"/>
    <col min="10504" max="10505" width="6" style="1" customWidth="1"/>
    <col min="10506" max="10507" width="9.140625" style="1" customWidth="1"/>
    <col min="10508" max="10509" width="6" style="1" customWidth="1"/>
    <col min="10510" max="10511" width="8.140625" style="1" customWidth="1"/>
    <col min="10512" max="10513" width="7" style="1" customWidth="1"/>
    <col min="10514" max="10515" width="6.7109375" style="1" customWidth="1"/>
    <col min="10516" max="10517" width="8.85546875" style="1" customWidth="1"/>
    <col min="10518" max="10519" width="7.5703125" style="1" customWidth="1"/>
    <col min="10520" max="10521" width="7.7109375" style="1" customWidth="1"/>
    <col min="10522" max="10738" width="9.140625" style="1"/>
    <col min="10739" max="10739" width="10.140625" style="1" customWidth="1"/>
    <col min="10740" max="10740" width="17.28515625" style="1" customWidth="1"/>
    <col min="10741" max="10741" width="9.42578125" style="1" customWidth="1"/>
    <col min="10742" max="10743" width="9" style="1" customWidth="1"/>
    <col min="10744" max="10745" width="7" style="1" customWidth="1"/>
    <col min="10746" max="10747" width="8.28515625" style="1" customWidth="1"/>
    <col min="10748" max="10757" width="7" style="1" customWidth="1"/>
    <col min="10758" max="10759" width="6.85546875" style="1" customWidth="1"/>
    <col min="10760" max="10761" width="6" style="1" customWidth="1"/>
    <col min="10762" max="10763" width="9.140625" style="1" customWidth="1"/>
    <col min="10764" max="10765" width="6" style="1" customWidth="1"/>
    <col min="10766" max="10767" width="8.140625" style="1" customWidth="1"/>
    <col min="10768" max="10769" width="7" style="1" customWidth="1"/>
    <col min="10770" max="10771" width="6.7109375" style="1" customWidth="1"/>
    <col min="10772" max="10773" width="8.85546875" style="1" customWidth="1"/>
    <col min="10774" max="10775" width="7.5703125" style="1" customWidth="1"/>
    <col min="10776" max="10777" width="7.7109375" style="1" customWidth="1"/>
    <col min="10778" max="10994" width="9.140625" style="1"/>
    <col min="10995" max="10995" width="10.140625" style="1" customWidth="1"/>
    <col min="10996" max="10996" width="17.28515625" style="1" customWidth="1"/>
    <col min="10997" max="10997" width="9.42578125" style="1" customWidth="1"/>
    <col min="10998" max="10999" width="9" style="1" customWidth="1"/>
    <col min="11000" max="11001" width="7" style="1" customWidth="1"/>
    <col min="11002" max="11003" width="8.28515625" style="1" customWidth="1"/>
    <col min="11004" max="11013" width="7" style="1" customWidth="1"/>
    <col min="11014" max="11015" width="6.85546875" style="1" customWidth="1"/>
    <col min="11016" max="11017" width="6" style="1" customWidth="1"/>
    <col min="11018" max="11019" width="9.140625" style="1" customWidth="1"/>
    <col min="11020" max="11021" width="6" style="1" customWidth="1"/>
    <col min="11022" max="11023" width="8.140625" style="1" customWidth="1"/>
    <col min="11024" max="11025" width="7" style="1" customWidth="1"/>
    <col min="11026" max="11027" width="6.7109375" style="1" customWidth="1"/>
    <col min="11028" max="11029" width="8.85546875" style="1" customWidth="1"/>
    <col min="11030" max="11031" width="7.5703125" style="1" customWidth="1"/>
    <col min="11032" max="11033" width="7.7109375" style="1" customWidth="1"/>
    <col min="11034" max="11250" width="9.140625" style="1"/>
    <col min="11251" max="11251" width="10.140625" style="1" customWidth="1"/>
    <col min="11252" max="11252" width="17.28515625" style="1" customWidth="1"/>
    <col min="11253" max="11253" width="9.42578125" style="1" customWidth="1"/>
    <col min="11254" max="11255" width="9" style="1" customWidth="1"/>
    <col min="11256" max="11257" width="7" style="1" customWidth="1"/>
    <col min="11258" max="11259" width="8.28515625" style="1" customWidth="1"/>
    <col min="11260" max="11269" width="7" style="1" customWidth="1"/>
    <col min="11270" max="11271" width="6.85546875" style="1" customWidth="1"/>
    <col min="11272" max="11273" width="6" style="1" customWidth="1"/>
    <col min="11274" max="11275" width="9.140625" style="1" customWidth="1"/>
    <col min="11276" max="11277" width="6" style="1" customWidth="1"/>
    <col min="11278" max="11279" width="8.140625" style="1" customWidth="1"/>
    <col min="11280" max="11281" width="7" style="1" customWidth="1"/>
    <col min="11282" max="11283" width="6.7109375" style="1" customWidth="1"/>
    <col min="11284" max="11285" width="8.85546875" style="1" customWidth="1"/>
    <col min="11286" max="11287" width="7.5703125" style="1" customWidth="1"/>
    <col min="11288" max="11289" width="7.7109375" style="1" customWidth="1"/>
    <col min="11290" max="11506" width="9.140625" style="1"/>
    <col min="11507" max="11507" width="10.140625" style="1" customWidth="1"/>
    <col min="11508" max="11508" width="17.28515625" style="1" customWidth="1"/>
    <col min="11509" max="11509" width="9.42578125" style="1" customWidth="1"/>
    <col min="11510" max="11511" width="9" style="1" customWidth="1"/>
    <col min="11512" max="11513" width="7" style="1" customWidth="1"/>
    <col min="11514" max="11515" width="8.28515625" style="1" customWidth="1"/>
    <col min="11516" max="11525" width="7" style="1" customWidth="1"/>
    <col min="11526" max="11527" width="6.85546875" style="1" customWidth="1"/>
    <col min="11528" max="11529" width="6" style="1" customWidth="1"/>
    <col min="11530" max="11531" width="9.140625" style="1" customWidth="1"/>
    <col min="11532" max="11533" width="6" style="1" customWidth="1"/>
    <col min="11534" max="11535" width="8.140625" style="1" customWidth="1"/>
    <col min="11536" max="11537" width="7" style="1" customWidth="1"/>
    <col min="11538" max="11539" width="6.7109375" style="1" customWidth="1"/>
    <col min="11540" max="11541" width="8.85546875" style="1" customWidth="1"/>
    <col min="11542" max="11543" width="7.5703125" style="1" customWidth="1"/>
    <col min="11544" max="11545" width="7.7109375" style="1" customWidth="1"/>
    <col min="11546" max="11762" width="9.140625" style="1"/>
    <col min="11763" max="11763" width="10.140625" style="1" customWidth="1"/>
    <col min="11764" max="11764" width="17.28515625" style="1" customWidth="1"/>
    <col min="11765" max="11765" width="9.42578125" style="1" customWidth="1"/>
    <col min="11766" max="11767" width="9" style="1" customWidth="1"/>
    <col min="11768" max="11769" width="7" style="1" customWidth="1"/>
    <col min="11770" max="11771" width="8.28515625" style="1" customWidth="1"/>
    <col min="11772" max="11781" width="7" style="1" customWidth="1"/>
    <col min="11782" max="11783" width="6.85546875" style="1" customWidth="1"/>
    <col min="11784" max="11785" width="6" style="1" customWidth="1"/>
    <col min="11786" max="11787" width="9.140625" style="1" customWidth="1"/>
    <col min="11788" max="11789" width="6" style="1" customWidth="1"/>
    <col min="11790" max="11791" width="8.140625" style="1" customWidth="1"/>
    <col min="11792" max="11793" width="7" style="1" customWidth="1"/>
    <col min="11794" max="11795" width="6.7109375" style="1" customWidth="1"/>
    <col min="11796" max="11797" width="8.85546875" style="1" customWidth="1"/>
    <col min="11798" max="11799" width="7.5703125" style="1" customWidth="1"/>
    <col min="11800" max="11801" width="7.7109375" style="1" customWidth="1"/>
    <col min="11802" max="12018" width="9.140625" style="1"/>
    <col min="12019" max="12019" width="10.140625" style="1" customWidth="1"/>
    <col min="12020" max="12020" width="17.28515625" style="1" customWidth="1"/>
    <col min="12021" max="12021" width="9.42578125" style="1" customWidth="1"/>
    <col min="12022" max="12023" width="9" style="1" customWidth="1"/>
    <col min="12024" max="12025" width="7" style="1" customWidth="1"/>
    <col min="12026" max="12027" width="8.28515625" style="1" customWidth="1"/>
    <col min="12028" max="12037" width="7" style="1" customWidth="1"/>
    <col min="12038" max="12039" width="6.85546875" style="1" customWidth="1"/>
    <col min="12040" max="12041" width="6" style="1" customWidth="1"/>
    <col min="12042" max="12043" width="9.140625" style="1" customWidth="1"/>
    <col min="12044" max="12045" width="6" style="1" customWidth="1"/>
    <col min="12046" max="12047" width="8.140625" style="1" customWidth="1"/>
    <col min="12048" max="12049" width="7" style="1" customWidth="1"/>
    <col min="12050" max="12051" width="6.7109375" style="1" customWidth="1"/>
    <col min="12052" max="12053" width="8.85546875" style="1" customWidth="1"/>
    <col min="12054" max="12055" width="7.5703125" style="1" customWidth="1"/>
    <col min="12056" max="12057" width="7.7109375" style="1" customWidth="1"/>
    <col min="12058" max="12274" width="9.140625" style="1"/>
    <col min="12275" max="12275" width="10.140625" style="1" customWidth="1"/>
    <col min="12276" max="12276" width="17.28515625" style="1" customWidth="1"/>
    <col min="12277" max="12277" width="9.42578125" style="1" customWidth="1"/>
    <col min="12278" max="12279" width="9" style="1" customWidth="1"/>
    <col min="12280" max="12281" width="7" style="1" customWidth="1"/>
    <col min="12282" max="12283" width="8.28515625" style="1" customWidth="1"/>
    <col min="12284" max="12293" width="7" style="1" customWidth="1"/>
    <col min="12294" max="12295" width="6.85546875" style="1" customWidth="1"/>
    <col min="12296" max="12297" width="6" style="1" customWidth="1"/>
    <col min="12298" max="12299" width="9.140625" style="1" customWidth="1"/>
    <col min="12300" max="12301" width="6" style="1" customWidth="1"/>
    <col min="12302" max="12303" width="8.140625" style="1" customWidth="1"/>
    <col min="12304" max="12305" width="7" style="1" customWidth="1"/>
    <col min="12306" max="12307" width="6.7109375" style="1" customWidth="1"/>
    <col min="12308" max="12309" width="8.85546875" style="1" customWidth="1"/>
    <col min="12310" max="12311" width="7.5703125" style="1" customWidth="1"/>
    <col min="12312" max="12313" width="7.7109375" style="1" customWidth="1"/>
    <col min="12314" max="12530" width="9.140625" style="1"/>
    <col min="12531" max="12531" width="10.140625" style="1" customWidth="1"/>
    <col min="12532" max="12532" width="17.28515625" style="1" customWidth="1"/>
    <col min="12533" max="12533" width="9.42578125" style="1" customWidth="1"/>
    <col min="12534" max="12535" width="9" style="1" customWidth="1"/>
    <col min="12536" max="12537" width="7" style="1" customWidth="1"/>
    <col min="12538" max="12539" width="8.28515625" style="1" customWidth="1"/>
    <col min="12540" max="12549" width="7" style="1" customWidth="1"/>
    <col min="12550" max="12551" width="6.85546875" style="1" customWidth="1"/>
    <col min="12552" max="12553" width="6" style="1" customWidth="1"/>
    <col min="12554" max="12555" width="9.140625" style="1" customWidth="1"/>
    <col min="12556" max="12557" width="6" style="1" customWidth="1"/>
    <col min="12558" max="12559" width="8.140625" style="1" customWidth="1"/>
    <col min="12560" max="12561" width="7" style="1" customWidth="1"/>
    <col min="12562" max="12563" width="6.7109375" style="1" customWidth="1"/>
    <col min="12564" max="12565" width="8.85546875" style="1" customWidth="1"/>
    <col min="12566" max="12567" width="7.5703125" style="1" customWidth="1"/>
    <col min="12568" max="12569" width="7.7109375" style="1" customWidth="1"/>
    <col min="12570" max="12786" width="9.140625" style="1"/>
    <col min="12787" max="12787" width="10.140625" style="1" customWidth="1"/>
    <col min="12788" max="12788" width="17.28515625" style="1" customWidth="1"/>
    <col min="12789" max="12789" width="9.42578125" style="1" customWidth="1"/>
    <col min="12790" max="12791" width="9" style="1" customWidth="1"/>
    <col min="12792" max="12793" width="7" style="1" customWidth="1"/>
    <col min="12794" max="12795" width="8.28515625" style="1" customWidth="1"/>
    <col min="12796" max="12805" width="7" style="1" customWidth="1"/>
    <col min="12806" max="12807" width="6.85546875" style="1" customWidth="1"/>
    <col min="12808" max="12809" width="6" style="1" customWidth="1"/>
    <col min="12810" max="12811" width="9.140625" style="1" customWidth="1"/>
    <col min="12812" max="12813" width="6" style="1" customWidth="1"/>
    <col min="12814" max="12815" width="8.140625" style="1" customWidth="1"/>
    <col min="12816" max="12817" width="7" style="1" customWidth="1"/>
    <col min="12818" max="12819" width="6.7109375" style="1" customWidth="1"/>
    <col min="12820" max="12821" width="8.85546875" style="1" customWidth="1"/>
    <col min="12822" max="12823" width="7.5703125" style="1" customWidth="1"/>
    <col min="12824" max="12825" width="7.7109375" style="1" customWidth="1"/>
    <col min="12826" max="13042" width="9.140625" style="1"/>
    <col min="13043" max="13043" width="10.140625" style="1" customWidth="1"/>
    <col min="13044" max="13044" width="17.28515625" style="1" customWidth="1"/>
    <col min="13045" max="13045" width="9.42578125" style="1" customWidth="1"/>
    <col min="13046" max="13047" width="9" style="1" customWidth="1"/>
    <col min="13048" max="13049" width="7" style="1" customWidth="1"/>
    <col min="13050" max="13051" width="8.28515625" style="1" customWidth="1"/>
    <col min="13052" max="13061" width="7" style="1" customWidth="1"/>
    <col min="13062" max="13063" width="6.85546875" style="1" customWidth="1"/>
    <col min="13064" max="13065" width="6" style="1" customWidth="1"/>
    <col min="13066" max="13067" width="9.140625" style="1" customWidth="1"/>
    <col min="13068" max="13069" width="6" style="1" customWidth="1"/>
    <col min="13070" max="13071" width="8.140625" style="1" customWidth="1"/>
    <col min="13072" max="13073" width="7" style="1" customWidth="1"/>
    <col min="13074" max="13075" width="6.7109375" style="1" customWidth="1"/>
    <col min="13076" max="13077" width="8.85546875" style="1" customWidth="1"/>
    <col min="13078" max="13079" width="7.5703125" style="1" customWidth="1"/>
    <col min="13080" max="13081" width="7.7109375" style="1" customWidth="1"/>
    <col min="13082" max="13298" width="9.140625" style="1"/>
    <col min="13299" max="13299" width="10.140625" style="1" customWidth="1"/>
    <col min="13300" max="13300" width="17.28515625" style="1" customWidth="1"/>
    <col min="13301" max="13301" width="9.42578125" style="1" customWidth="1"/>
    <col min="13302" max="13303" width="9" style="1" customWidth="1"/>
    <col min="13304" max="13305" width="7" style="1" customWidth="1"/>
    <col min="13306" max="13307" width="8.28515625" style="1" customWidth="1"/>
    <col min="13308" max="13317" width="7" style="1" customWidth="1"/>
    <col min="13318" max="13319" width="6.85546875" style="1" customWidth="1"/>
    <col min="13320" max="13321" width="6" style="1" customWidth="1"/>
    <col min="13322" max="13323" width="9.140625" style="1" customWidth="1"/>
    <col min="13324" max="13325" width="6" style="1" customWidth="1"/>
    <col min="13326" max="13327" width="8.140625" style="1" customWidth="1"/>
    <col min="13328" max="13329" width="7" style="1" customWidth="1"/>
    <col min="13330" max="13331" width="6.7109375" style="1" customWidth="1"/>
    <col min="13332" max="13333" width="8.85546875" style="1" customWidth="1"/>
    <col min="13334" max="13335" width="7.5703125" style="1" customWidth="1"/>
    <col min="13336" max="13337" width="7.7109375" style="1" customWidth="1"/>
    <col min="13338" max="13554" width="9.140625" style="1"/>
    <col min="13555" max="13555" width="10.140625" style="1" customWidth="1"/>
    <col min="13556" max="13556" width="17.28515625" style="1" customWidth="1"/>
    <col min="13557" max="13557" width="9.42578125" style="1" customWidth="1"/>
    <col min="13558" max="13559" width="9" style="1" customWidth="1"/>
    <col min="13560" max="13561" width="7" style="1" customWidth="1"/>
    <col min="13562" max="13563" width="8.28515625" style="1" customWidth="1"/>
    <col min="13564" max="13573" width="7" style="1" customWidth="1"/>
    <col min="13574" max="13575" width="6.85546875" style="1" customWidth="1"/>
    <col min="13576" max="13577" width="6" style="1" customWidth="1"/>
    <col min="13578" max="13579" width="9.140625" style="1" customWidth="1"/>
    <col min="13580" max="13581" width="6" style="1" customWidth="1"/>
    <col min="13582" max="13583" width="8.140625" style="1" customWidth="1"/>
    <col min="13584" max="13585" width="7" style="1" customWidth="1"/>
    <col min="13586" max="13587" width="6.7109375" style="1" customWidth="1"/>
    <col min="13588" max="13589" width="8.85546875" style="1" customWidth="1"/>
    <col min="13590" max="13591" width="7.5703125" style="1" customWidth="1"/>
    <col min="13592" max="13593" width="7.7109375" style="1" customWidth="1"/>
    <col min="13594" max="13810" width="9.140625" style="1"/>
    <col min="13811" max="13811" width="10.140625" style="1" customWidth="1"/>
    <col min="13812" max="13812" width="17.28515625" style="1" customWidth="1"/>
    <col min="13813" max="13813" width="9.42578125" style="1" customWidth="1"/>
    <col min="13814" max="13815" width="9" style="1" customWidth="1"/>
    <col min="13816" max="13817" width="7" style="1" customWidth="1"/>
    <col min="13818" max="13819" width="8.28515625" style="1" customWidth="1"/>
    <col min="13820" max="13829" width="7" style="1" customWidth="1"/>
    <col min="13830" max="13831" width="6.85546875" style="1" customWidth="1"/>
    <col min="13832" max="13833" width="6" style="1" customWidth="1"/>
    <col min="13834" max="13835" width="9.140625" style="1" customWidth="1"/>
    <col min="13836" max="13837" width="6" style="1" customWidth="1"/>
    <col min="13838" max="13839" width="8.140625" style="1" customWidth="1"/>
    <col min="13840" max="13841" width="7" style="1" customWidth="1"/>
    <col min="13842" max="13843" width="6.7109375" style="1" customWidth="1"/>
    <col min="13844" max="13845" width="8.85546875" style="1" customWidth="1"/>
    <col min="13846" max="13847" width="7.5703125" style="1" customWidth="1"/>
    <col min="13848" max="13849" width="7.7109375" style="1" customWidth="1"/>
    <col min="13850" max="14066" width="9.140625" style="1"/>
    <col min="14067" max="14067" width="10.140625" style="1" customWidth="1"/>
    <col min="14068" max="14068" width="17.28515625" style="1" customWidth="1"/>
    <col min="14069" max="14069" width="9.42578125" style="1" customWidth="1"/>
    <col min="14070" max="14071" width="9" style="1" customWidth="1"/>
    <col min="14072" max="14073" width="7" style="1" customWidth="1"/>
    <col min="14074" max="14075" width="8.28515625" style="1" customWidth="1"/>
    <col min="14076" max="14085" width="7" style="1" customWidth="1"/>
    <col min="14086" max="14087" width="6.85546875" style="1" customWidth="1"/>
    <col min="14088" max="14089" width="6" style="1" customWidth="1"/>
    <col min="14090" max="14091" width="9.140625" style="1" customWidth="1"/>
    <col min="14092" max="14093" width="6" style="1" customWidth="1"/>
    <col min="14094" max="14095" width="8.140625" style="1" customWidth="1"/>
    <col min="14096" max="14097" width="7" style="1" customWidth="1"/>
    <col min="14098" max="14099" width="6.7109375" style="1" customWidth="1"/>
    <col min="14100" max="14101" width="8.85546875" style="1" customWidth="1"/>
    <col min="14102" max="14103" width="7.5703125" style="1" customWidth="1"/>
    <col min="14104" max="14105" width="7.7109375" style="1" customWidth="1"/>
    <col min="14106" max="14322" width="9.140625" style="1"/>
    <col min="14323" max="14323" width="10.140625" style="1" customWidth="1"/>
    <col min="14324" max="14324" width="17.28515625" style="1" customWidth="1"/>
    <col min="14325" max="14325" width="9.42578125" style="1" customWidth="1"/>
    <col min="14326" max="14327" width="9" style="1" customWidth="1"/>
    <col min="14328" max="14329" width="7" style="1" customWidth="1"/>
    <col min="14330" max="14331" width="8.28515625" style="1" customWidth="1"/>
    <col min="14332" max="14341" width="7" style="1" customWidth="1"/>
    <col min="14342" max="14343" width="6.85546875" style="1" customWidth="1"/>
    <col min="14344" max="14345" width="6" style="1" customWidth="1"/>
    <col min="14346" max="14347" width="9.140625" style="1" customWidth="1"/>
    <col min="14348" max="14349" width="6" style="1" customWidth="1"/>
    <col min="14350" max="14351" width="8.140625" style="1" customWidth="1"/>
    <col min="14352" max="14353" width="7" style="1" customWidth="1"/>
    <col min="14354" max="14355" width="6.7109375" style="1" customWidth="1"/>
    <col min="14356" max="14357" width="8.85546875" style="1" customWidth="1"/>
    <col min="14358" max="14359" width="7.5703125" style="1" customWidth="1"/>
    <col min="14360" max="14361" width="7.7109375" style="1" customWidth="1"/>
    <col min="14362" max="14578" width="9.140625" style="1"/>
    <col min="14579" max="14579" width="10.140625" style="1" customWidth="1"/>
    <col min="14580" max="14580" width="17.28515625" style="1" customWidth="1"/>
    <col min="14581" max="14581" width="9.42578125" style="1" customWidth="1"/>
    <col min="14582" max="14583" width="9" style="1" customWidth="1"/>
    <col min="14584" max="14585" width="7" style="1" customWidth="1"/>
    <col min="14586" max="14587" width="8.28515625" style="1" customWidth="1"/>
    <col min="14588" max="14597" width="7" style="1" customWidth="1"/>
    <col min="14598" max="14599" width="6.85546875" style="1" customWidth="1"/>
    <col min="14600" max="14601" width="6" style="1" customWidth="1"/>
    <col min="14602" max="14603" width="9.140625" style="1" customWidth="1"/>
    <col min="14604" max="14605" width="6" style="1" customWidth="1"/>
    <col min="14606" max="14607" width="8.140625" style="1" customWidth="1"/>
    <col min="14608" max="14609" width="7" style="1" customWidth="1"/>
    <col min="14610" max="14611" width="6.7109375" style="1" customWidth="1"/>
    <col min="14612" max="14613" width="8.85546875" style="1" customWidth="1"/>
    <col min="14614" max="14615" width="7.5703125" style="1" customWidth="1"/>
    <col min="14616" max="14617" width="7.7109375" style="1" customWidth="1"/>
    <col min="14618" max="14834" width="9.140625" style="1"/>
    <col min="14835" max="14835" width="10.140625" style="1" customWidth="1"/>
    <col min="14836" max="14836" width="17.28515625" style="1" customWidth="1"/>
    <col min="14837" max="14837" width="9.42578125" style="1" customWidth="1"/>
    <col min="14838" max="14839" width="9" style="1" customWidth="1"/>
    <col min="14840" max="14841" width="7" style="1" customWidth="1"/>
    <col min="14842" max="14843" width="8.28515625" style="1" customWidth="1"/>
    <col min="14844" max="14853" width="7" style="1" customWidth="1"/>
    <col min="14854" max="14855" width="6.85546875" style="1" customWidth="1"/>
    <col min="14856" max="14857" width="6" style="1" customWidth="1"/>
    <col min="14858" max="14859" width="9.140625" style="1" customWidth="1"/>
    <col min="14860" max="14861" width="6" style="1" customWidth="1"/>
    <col min="14862" max="14863" width="8.140625" style="1" customWidth="1"/>
    <col min="14864" max="14865" width="7" style="1" customWidth="1"/>
    <col min="14866" max="14867" width="6.7109375" style="1" customWidth="1"/>
    <col min="14868" max="14869" width="8.85546875" style="1" customWidth="1"/>
    <col min="14870" max="14871" width="7.5703125" style="1" customWidth="1"/>
    <col min="14872" max="14873" width="7.7109375" style="1" customWidth="1"/>
    <col min="14874" max="15090" width="9.140625" style="1"/>
    <col min="15091" max="15091" width="10.140625" style="1" customWidth="1"/>
    <col min="15092" max="15092" width="17.28515625" style="1" customWidth="1"/>
    <col min="15093" max="15093" width="9.42578125" style="1" customWidth="1"/>
    <col min="15094" max="15095" width="9" style="1" customWidth="1"/>
    <col min="15096" max="15097" width="7" style="1" customWidth="1"/>
    <col min="15098" max="15099" width="8.28515625" style="1" customWidth="1"/>
    <col min="15100" max="15109" width="7" style="1" customWidth="1"/>
    <col min="15110" max="15111" width="6.85546875" style="1" customWidth="1"/>
    <col min="15112" max="15113" width="6" style="1" customWidth="1"/>
    <col min="15114" max="15115" width="9.140625" style="1" customWidth="1"/>
    <col min="15116" max="15117" width="6" style="1" customWidth="1"/>
    <col min="15118" max="15119" width="8.140625" style="1" customWidth="1"/>
    <col min="15120" max="15121" width="7" style="1" customWidth="1"/>
    <col min="15122" max="15123" width="6.7109375" style="1" customWidth="1"/>
    <col min="15124" max="15125" width="8.85546875" style="1" customWidth="1"/>
    <col min="15126" max="15127" width="7.5703125" style="1" customWidth="1"/>
    <col min="15128" max="15129" width="7.7109375" style="1" customWidth="1"/>
    <col min="15130" max="15346" width="9.140625" style="1"/>
    <col min="15347" max="15347" width="10.140625" style="1" customWidth="1"/>
    <col min="15348" max="15348" width="17.28515625" style="1" customWidth="1"/>
    <col min="15349" max="15349" width="9.42578125" style="1" customWidth="1"/>
    <col min="15350" max="15351" width="9" style="1" customWidth="1"/>
    <col min="15352" max="15353" width="7" style="1" customWidth="1"/>
    <col min="15354" max="15355" width="8.28515625" style="1" customWidth="1"/>
    <col min="15356" max="15365" width="7" style="1" customWidth="1"/>
    <col min="15366" max="15367" width="6.85546875" style="1" customWidth="1"/>
    <col min="15368" max="15369" width="6" style="1" customWidth="1"/>
    <col min="15370" max="15371" width="9.140625" style="1" customWidth="1"/>
    <col min="15372" max="15373" width="6" style="1" customWidth="1"/>
    <col min="15374" max="15375" width="8.140625" style="1" customWidth="1"/>
    <col min="15376" max="15377" width="7" style="1" customWidth="1"/>
    <col min="15378" max="15379" width="6.7109375" style="1" customWidth="1"/>
    <col min="15380" max="15381" width="8.85546875" style="1" customWidth="1"/>
    <col min="15382" max="15383" width="7.5703125" style="1" customWidth="1"/>
    <col min="15384" max="15385" width="7.7109375" style="1" customWidth="1"/>
    <col min="15386" max="15602" width="9.140625" style="1"/>
    <col min="15603" max="15603" width="10.140625" style="1" customWidth="1"/>
    <col min="15604" max="15604" width="17.28515625" style="1" customWidth="1"/>
    <col min="15605" max="15605" width="9.42578125" style="1" customWidth="1"/>
    <col min="15606" max="15607" width="9" style="1" customWidth="1"/>
    <col min="15608" max="15609" width="7" style="1" customWidth="1"/>
    <col min="15610" max="15611" width="8.28515625" style="1" customWidth="1"/>
    <col min="15612" max="15621" width="7" style="1" customWidth="1"/>
    <col min="15622" max="15623" width="6.85546875" style="1" customWidth="1"/>
    <col min="15624" max="15625" width="6" style="1" customWidth="1"/>
    <col min="15626" max="15627" width="9.140625" style="1" customWidth="1"/>
    <col min="15628" max="15629" width="6" style="1" customWidth="1"/>
    <col min="15630" max="15631" width="8.140625" style="1" customWidth="1"/>
    <col min="15632" max="15633" width="7" style="1" customWidth="1"/>
    <col min="15634" max="15635" width="6.7109375" style="1" customWidth="1"/>
    <col min="15636" max="15637" width="8.85546875" style="1" customWidth="1"/>
    <col min="15638" max="15639" width="7.5703125" style="1" customWidth="1"/>
    <col min="15640" max="15641" width="7.7109375" style="1" customWidth="1"/>
    <col min="15642" max="15858" width="9.140625" style="1"/>
    <col min="15859" max="15859" width="10.140625" style="1" customWidth="1"/>
    <col min="15860" max="15860" width="17.28515625" style="1" customWidth="1"/>
    <col min="15861" max="15861" width="9.42578125" style="1" customWidth="1"/>
    <col min="15862" max="15863" width="9" style="1" customWidth="1"/>
    <col min="15864" max="15865" width="7" style="1" customWidth="1"/>
    <col min="15866" max="15867" width="8.28515625" style="1" customWidth="1"/>
    <col min="15868" max="15877" width="7" style="1" customWidth="1"/>
    <col min="15878" max="15879" width="6.85546875" style="1" customWidth="1"/>
    <col min="15880" max="15881" width="6" style="1" customWidth="1"/>
    <col min="15882" max="15883" width="9.140625" style="1" customWidth="1"/>
    <col min="15884" max="15885" width="6" style="1" customWidth="1"/>
    <col min="15886" max="15887" width="8.140625" style="1" customWidth="1"/>
    <col min="15888" max="15889" width="7" style="1" customWidth="1"/>
    <col min="15890" max="15891" width="6.7109375" style="1" customWidth="1"/>
    <col min="15892" max="15893" width="8.85546875" style="1" customWidth="1"/>
    <col min="15894" max="15895" width="7.5703125" style="1" customWidth="1"/>
    <col min="15896" max="15897" width="7.7109375" style="1" customWidth="1"/>
    <col min="15898" max="16114" width="9.140625" style="1"/>
    <col min="16115" max="16115" width="10.140625" style="1" customWidth="1"/>
    <col min="16116" max="16116" width="17.28515625" style="1" customWidth="1"/>
    <col min="16117" max="16117" width="9.42578125" style="1" customWidth="1"/>
    <col min="16118" max="16119" width="9" style="1" customWidth="1"/>
    <col min="16120" max="16121" width="7" style="1" customWidth="1"/>
    <col min="16122" max="16123" width="8.28515625" style="1" customWidth="1"/>
    <col min="16124" max="16133" width="7" style="1" customWidth="1"/>
    <col min="16134" max="16135" width="6.85546875" style="1" customWidth="1"/>
    <col min="16136" max="16137" width="6" style="1" customWidth="1"/>
    <col min="16138" max="16139" width="9.140625" style="1" customWidth="1"/>
    <col min="16140" max="16141" width="6" style="1" customWidth="1"/>
    <col min="16142" max="16143" width="8.140625" style="1" customWidth="1"/>
    <col min="16144" max="16145" width="7" style="1" customWidth="1"/>
    <col min="16146" max="16147" width="6.7109375" style="1" customWidth="1"/>
    <col min="16148" max="16149" width="8.85546875" style="1" customWidth="1"/>
    <col min="16150" max="16151" width="7.5703125" style="1" customWidth="1"/>
    <col min="16152" max="16153" width="7.7109375" style="1" customWidth="1"/>
    <col min="16154" max="16384" width="9.140625" style="1"/>
  </cols>
  <sheetData>
    <row r="1" spans="1:45" x14ac:dyDescent="0.25">
      <c r="A1" s="149"/>
      <c r="B1" s="149"/>
      <c r="C1" s="149"/>
      <c r="Z1" s="149"/>
      <c r="AA1" s="149"/>
      <c r="AJ1" s="83"/>
      <c r="AK1" s="83"/>
      <c r="AL1" s="83"/>
      <c r="AM1" s="83"/>
      <c r="AN1" s="172" t="s">
        <v>0</v>
      </c>
      <c r="AO1" s="172"/>
      <c r="AP1" s="172"/>
      <c r="AQ1" s="172"/>
      <c r="AR1" s="172"/>
      <c r="AS1" s="149"/>
    </row>
    <row r="2" spans="1:45" x14ac:dyDescent="0.25">
      <c r="A2" s="149"/>
      <c r="B2" s="149"/>
      <c r="C2" s="149"/>
      <c r="Z2" s="149"/>
      <c r="AA2" s="149"/>
      <c r="AJ2" s="172" t="s">
        <v>1</v>
      </c>
      <c r="AK2" s="172"/>
      <c r="AL2" s="172"/>
      <c r="AM2" s="172"/>
      <c r="AN2" s="172"/>
      <c r="AO2" s="172"/>
      <c r="AP2" s="172"/>
      <c r="AQ2" s="172"/>
      <c r="AR2" s="172"/>
      <c r="AS2" s="149"/>
    </row>
    <row r="3" spans="1:45" x14ac:dyDescent="0.25">
      <c r="A3" s="149"/>
      <c r="B3" s="149"/>
      <c r="C3" s="149"/>
      <c r="Z3" s="149"/>
      <c r="AA3" s="149"/>
      <c r="AJ3" s="83"/>
      <c r="AK3" s="83"/>
      <c r="AL3" s="172" t="s">
        <v>628</v>
      </c>
      <c r="AM3" s="172"/>
      <c r="AN3" s="172"/>
      <c r="AO3" s="172"/>
      <c r="AP3" s="172"/>
      <c r="AQ3" s="172"/>
      <c r="AR3" s="172"/>
      <c r="AS3" s="149"/>
    </row>
    <row r="4" spans="1:45" x14ac:dyDescent="0.25">
      <c r="A4" s="149"/>
      <c r="B4" s="149" t="s">
        <v>3</v>
      </c>
      <c r="C4" s="149"/>
      <c r="Z4" s="149"/>
      <c r="AA4" s="149"/>
      <c r="AD4" s="21"/>
      <c r="AE4" s="21"/>
      <c r="AJ4" s="83"/>
      <c r="AK4" s="83"/>
      <c r="AL4" s="172" t="s">
        <v>629</v>
      </c>
      <c r="AM4" s="172"/>
      <c r="AN4" s="172"/>
      <c r="AO4" s="172"/>
      <c r="AP4" s="172"/>
      <c r="AQ4" s="172"/>
      <c r="AR4" s="172"/>
      <c r="AS4" s="21"/>
    </row>
    <row r="5" spans="1:45" x14ac:dyDescent="0.25">
      <c r="A5" s="149"/>
      <c r="B5" s="2" t="s">
        <v>5</v>
      </c>
      <c r="C5" s="149"/>
      <c r="Z5" s="149"/>
      <c r="AA5" s="149"/>
      <c r="AP5" s="149"/>
      <c r="AQ5" s="149"/>
      <c r="AR5" s="149"/>
      <c r="AS5" s="149"/>
    </row>
    <row r="6" spans="1:45" ht="129" customHeight="1" x14ac:dyDescent="0.25">
      <c r="A6" s="64" t="s">
        <v>6</v>
      </c>
      <c r="B6" s="64" t="s">
        <v>7</v>
      </c>
      <c r="C6" s="65" t="s">
        <v>8</v>
      </c>
      <c r="D6" s="64" t="s">
        <v>9</v>
      </c>
      <c r="E6" s="152" t="s">
        <v>10</v>
      </c>
      <c r="F6" s="64" t="s">
        <v>11</v>
      </c>
      <c r="G6" s="152" t="s">
        <v>12</v>
      </c>
      <c r="H6" s="64" t="s">
        <v>13</v>
      </c>
      <c r="I6" s="152" t="s">
        <v>14</v>
      </c>
      <c r="J6" s="64" t="s">
        <v>15</v>
      </c>
      <c r="K6" s="152" t="s">
        <v>16</v>
      </c>
      <c r="L6" s="64" t="s">
        <v>17</v>
      </c>
      <c r="M6" s="152" t="s">
        <v>18</v>
      </c>
      <c r="N6" s="64" t="s">
        <v>19</v>
      </c>
      <c r="O6" s="152" t="s">
        <v>20</v>
      </c>
      <c r="P6" s="64" t="s">
        <v>21</v>
      </c>
      <c r="Q6" s="152" t="s">
        <v>22</v>
      </c>
      <c r="R6" s="64" t="s">
        <v>23</v>
      </c>
      <c r="S6" s="152" t="s">
        <v>24</v>
      </c>
      <c r="T6" s="64" t="s">
        <v>25</v>
      </c>
      <c r="U6" s="152" t="s">
        <v>26</v>
      </c>
      <c r="V6" s="64" t="s">
        <v>27</v>
      </c>
      <c r="W6" s="152" t="s">
        <v>28</v>
      </c>
      <c r="X6" s="64" t="s">
        <v>29</v>
      </c>
      <c r="Y6" s="152" t="s">
        <v>30</v>
      </c>
      <c r="Z6" s="64" t="s">
        <v>31</v>
      </c>
      <c r="AA6" s="152" t="s">
        <v>32</v>
      </c>
      <c r="AB6" s="64" t="s">
        <v>33</v>
      </c>
      <c r="AC6" s="152" t="s">
        <v>34</v>
      </c>
      <c r="AD6" s="64" t="s">
        <v>35</v>
      </c>
      <c r="AE6" s="152" t="s">
        <v>36</v>
      </c>
      <c r="AF6" s="64" t="s">
        <v>37</v>
      </c>
      <c r="AG6" s="152" t="s">
        <v>38</v>
      </c>
      <c r="AH6" s="64" t="s">
        <v>39</v>
      </c>
      <c r="AI6" s="152" t="s">
        <v>40</v>
      </c>
      <c r="AJ6" s="64" t="s">
        <v>41</v>
      </c>
      <c r="AK6" s="152" t="s">
        <v>42</v>
      </c>
      <c r="AL6" s="64" t="s">
        <v>43</v>
      </c>
      <c r="AM6" s="152" t="s">
        <v>44</v>
      </c>
      <c r="AN6" s="64" t="s">
        <v>45</v>
      </c>
      <c r="AO6" s="152" t="s">
        <v>46</v>
      </c>
      <c r="AP6" s="64" t="s">
        <v>47</v>
      </c>
      <c r="AQ6" s="152" t="s">
        <v>48</v>
      </c>
      <c r="AR6" s="3" t="s">
        <v>49</v>
      </c>
      <c r="AS6" s="149"/>
    </row>
    <row r="7" spans="1:45" ht="15.75" x14ac:dyDescent="0.25">
      <c r="A7" s="66"/>
      <c r="B7" s="67" t="s">
        <v>8</v>
      </c>
      <c r="C7" s="68"/>
      <c r="D7" s="68">
        <v>1000</v>
      </c>
      <c r="E7" s="46">
        <v>1000</v>
      </c>
      <c r="F7" s="68">
        <v>2210</v>
      </c>
      <c r="G7" s="46">
        <v>2210</v>
      </c>
      <c r="H7" s="68">
        <v>2221</v>
      </c>
      <c r="I7" s="46">
        <v>2221</v>
      </c>
      <c r="J7" s="68">
        <v>2222</v>
      </c>
      <c r="K7" s="46">
        <v>2222</v>
      </c>
      <c r="L7" s="68">
        <v>2223</v>
      </c>
      <c r="M7" s="46">
        <v>2223</v>
      </c>
      <c r="N7" s="68">
        <v>2224</v>
      </c>
      <c r="O7" s="46">
        <v>2224</v>
      </c>
      <c r="P7" s="68">
        <v>2321</v>
      </c>
      <c r="Q7" s="46">
        <v>2321</v>
      </c>
      <c r="R7" s="68">
        <v>2322</v>
      </c>
      <c r="S7" s="46">
        <v>2322</v>
      </c>
      <c r="T7" s="68">
        <v>2363</v>
      </c>
      <c r="U7" s="46">
        <v>2363</v>
      </c>
      <c r="V7" s="68" t="s">
        <v>50</v>
      </c>
      <c r="W7" s="46" t="s">
        <v>50</v>
      </c>
      <c r="X7" s="68">
        <v>2260</v>
      </c>
      <c r="Y7" s="46">
        <v>2260</v>
      </c>
      <c r="Z7" s="69"/>
      <c r="AA7" s="46"/>
      <c r="AB7" s="68">
        <v>2100</v>
      </c>
      <c r="AC7" s="46">
        <v>2100</v>
      </c>
      <c r="AD7" s="68">
        <v>2200</v>
      </c>
      <c r="AE7" s="46">
        <v>2200</v>
      </c>
      <c r="AF7" s="68">
        <v>2300</v>
      </c>
      <c r="AG7" s="46">
        <v>2300</v>
      </c>
      <c r="AH7" s="68" t="s">
        <v>51</v>
      </c>
      <c r="AI7" s="46" t="s">
        <v>51</v>
      </c>
      <c r="AJ7" s="68" t="s">
        <v>52</v>
      </c>
      <c r="AK7" s="46"/>
      <c r="AL7" s="68" t="s">
        <v>53</v>
      </c>
      <c r="AM7" s="46" t="s">
        <v>53</v>
      </c>
      <c r="AN7" s="68" t="s">
        <v>54</v>
      </c>
      <c r="AO7" s="46" t="s">
        <v>54</v>
      </c>
      <c r="AP7" s="70"/>
      <c r="AQ7" s="46"/>
      <c r="AR7" s="71"/>
      <c r="AS7" s="149"/>
    </row>
    <row r="8" spans="1:45" x14ac:dyDescent="0.25">
      <c r="A8" s="4" t="s">
        <v>55</v>
      </c>
      <c r="B8" s="4" t="s">
        <v>56</v>
      </c>
      <c r="C8" s="5" t="s">
        <v>57</v>
      </c>
      <c r="D8" s="143">
        <v>61496</v>
      </c>
      <c r="E8" s="153">
        <v>48586</v>
      </c>
      <c r="F8" s="151">
        <v>1920</v>
      </c>
      <c r="G8" s="153">
        <v>2075</v>
      </c>
      <c r="H8" s="151">
        <v>2900</v>
      </c>
      <c r="I8" s="153">
        <v>2750</v>
      </c>
      <c r="J8" s="151"/>
      <c r="K8" s="153"/>
      <c r="L8" s="151">
        <v>1050</v>
      </c>
      <c r="M8" s="153">
        <v>950</v>
      </c>
      <c r="N8" s="151"/>
      <c r="O8" s="153"/>
      <c r="P8" s="151"/>
      <c r="Q8" s="153"/>
      <c r="R8" s="151">
        <v>2300</v>
      </c>
      <c r="S8" s="153">
        <v>2500</v>
      </c>
      <c r="T8" s="151"/>
      <c r="U8" s="153"/>
      <c r="V8" s="151"/>
      <c r="W8" s="153"/>
      <c r="X8" s="151"/>
      <c r="Y8" s="153"/>
      <c r="Z8" s="61">
        <f t="shared" ref="Z8:Z36" si="0">D8+F8+H8+J8+L8+P8+R8+T8+V8+X8+N8</f>
        <v>69666</v>
      </c>
      <c r="AA8" s="75">
        <f t="shared" ref="AA8:AA36" si="1">E8+G8+I8+K8+M8+Q8+S8+U8+W8+Y8+O8</f>
        <v>56861</v>
      </c>
      <c r="AB8" s="151"/>
      <c r="AC8" s="153"/>
      <c r="AD8" s="151">
        <v>10203</v>
      </c>
      <c r="AE8" s="153">
        <v>10242</v>
      </c>
      <c r="AF8" s="151">
        <v>3840</v>
      </c>
      <c r="AG8" s="153">
        <v>3400</v>
      </c>
      <c r="AH8" s="151"/>
      <c r="AI8" s="153"/>
      <c r="AJ8" s="151"/>
      <c r="AK8" s="153"/>
      <c r="AL8" s="151"/>
      <c r="AM8" s="153"/>
      <c r="AN8" s="151">
        <v>800</v>
      </c>
      <c r="AO8" s="153">
        <v>0</v>
      </c>
      <c r="AP8" s="61">
        <f t="shared" ref="AP8:AP36" si="2">Z8+AB8+AD8+AF8+AH8+AJ8+AL8+AN8</f>
        <v>84509</v>
      </c>
      <c r="AQ8" s="75">
        <f t="shared" ref="AQ8:AQ36" si="3">AA8+AC8+AE8+AG8+AI8+AK8+AM8+AO8</f>
        <v>70503</v>
      </c>
      <c r="AR8" s="150" t="s">
        <v>58</v>
      </c>
      <c r="AS8" s="149"/>
    </row>
    <row r="9" spans="1:45" x14ac:dyDescent="0.25">
      <c r="A9" s="4" t="s">
        <v>55</v>
      </c>
      <c r="B9" s="4" t="s">
        <v>59</v>
      </c>
      <c r="C9" s="5" t="s">
        <v>60</v>
      </c>
      <c r="D9" s="151"/>
      <c r="E9" s="153"/>
      <c r="F9" s="151"/>
      <c r="G9" s="153"/>
      <c r="H9" s="151"/>
      <c r="I9" s="153"/>
      <c r="J9" s="151"/>
      <c r="K9" s="153"/>
      <c r="L9" s="151"/>
      <c r="M9" s="153"/>
      <c r="N9" s="151">
        <v>1855</v>
      </c>
      <c r="O9" s="153">
        <v>1855</v>
      </c>
      <c r="P9" s="151"/>
      <c r="Q9" s="153"/>
      <c r="R9" s="151">
        <v>1000</v>
      </c>
      <c r="S9" s="153">
        <v>1000</v>
      </c>
      <c r="T9" s="151"/>
      <c r="U9" s="153"/>
      <c r="V9" s="151"/>
      <c r="W9" s="153"/>
      <c r="X9" s="151"/>
      <c r="Y9" s="153"/>
      <c r="Z9" s="61">
        <f t="shared" si="0"/>
        <v>2855</v>
      </c>
      <c r="AA9" s="75">
        <f t="shared" si="1"/>
        <v>2855</v>
      </c>
      <c r="AB9" s="151"/>
      <c r="AC9" s="153"/>
      <c r="AD9" s="28">
        <v>500</v>
      </c>
      <c r="AE9" s="153">
        <v>500</v>
      </c>
      <c r="AF9" s="28">
        <v>2700</v>
      </c>
      <c r="AG9" s="153">
        <v>2400</v>
      </c>
      <c r="AH9" s="151"/>
      <c r="AI9" s="153"/>
      <c r="AJ9" s="151"/>
      <c r="AK9" s="153"/>
      <c r="AL9" s="151"/>
      <c r="AM9" s="153"/>
      <c r="AN9" s="151"/>
      <c r="AO9" s="153"/>
      <c r="AP9" s="61">
        <f t="shared" si="2"/>
        <v>6055</v>
      </c>
      <c r="AQ9" s="75">
        <f t="shared" si="3"/>
        <v>5755</v>
      </c>
      <c r="AR9" s="150" t="s">
        <v>61</v>
      </c>
      <c r="AS9" s="149"/>
    </row>
    <row r="10" spans="1:45" ht="26.25" x14ac:dyDescent="0.25">
      <c r="A10" s="4" t="s">
        <v>55</v>
      </c>
      <c r="B10" s="4" t="s">
        <v>62</v>
      </c>
      <c r="C10" s="5" t="s">
        <v>60</v>
      </c>
      <c r="D10" s="151"/>
      <c r="E10" s="153"/>
      <c r="F10" s="151"/>
      <c r="G10" s="153"/>
      <c r="H10" s="151"/>
      <c r="I10" s="153"/>
      <c r="J10" s="151"/>
      <c r="K10" s="153"/>
      <c r="L10" s="151">
        <v>1800</v>
      </c>
      <c r="M10" s="153">
        <v>1800</v>
      </c>
      <c r="N10" s="151"/>
      <c r="O10" s="153"/>
      <c r="P10" s="151"/>
      <c r="Q10" s="153"/>
      <c r="R10" s="151">
        <v>2500</v>
      </c>
      <c r="S10" s="153">
        <v>2500</v>
      </c>
      <c r="T10" s="151"/>
      <c r="U10" s="153"/>
      <c r="V10" s="151"/>
      <c r="W10" s="153"/>
      <c r="X10" s="151"/>
      <c r="Y10" s="153"/>
      <c r="Z10" s="61">
        <f t="shared" si="0"/>
        <v>4300</v>
      </c>
      <c r="AA10" s="75">
        <f t="shared" si="1"/>
        <v>4300</v>
      </c>
      <c r="AB10" s="151"/>
      <c r="AC10" s="153"/>
      <c r="AD10" s="151">
        <v>15579</v>
      </c>
      <c r="AE10" s="153">
        <f>22353-AG10-M10-S10-AO10</f>
        <v>16553</v>
      </c>
      <c r="AF10" s="151">
        <v>1400</v>
      </c>
      <c r="AG10" s="153">
        <v>1400</v>
      </c>
      <c r="AH10" s="151"/>
      <c r="AI10" s="153"/>
      <c r="AJ10" s="151"/>
      <c r="AK10" s="153"/>
      <c r="AL10" s="151"/>
      <c r="AM10" s="153"/>
      <c r="AN10" s="151">
        <v>100</v>
      </c>
      <c r="AO10" s="153">
        <v>100</v>
      </c>
      <c r="AP10" s="61">
        <f t="shared" si="2"/>
        <v>21379</v>
      </c>
      <c r="AQ10" s="75">
        <f t="shared" si="3"/>
        <v>22353</v>
      </c>
      <c r="AR10" s="150" t="s">
        <v>63</v>
      </c>
      <c r="AS10" s="149"/>
    </row>
    <row r="11" spans="1:45" x14ac:dyDescent="0.25">
      <c r="A11" s="4" t="s">
        <v>55</v>
      </c>
      <c r="B11" s="4" t="s">
        <v>64</v>
      </c>
      <c r="C11" s="5" t="s">
        <v>60</v>
      </c>
      <c r="D11" s="151"/>
      <c r="E11" s="153"/>
      <c r="F11" s="151"/>
      <c r="G11" s="153"/>
      <c r="H11" s="151"/>
      <c r="I11" s="153"/>
      <c r="J11" s="151"/>
      <c r="K11" s="153"/>
      <c r="L11" s="151"/>
      <c r="M11" s="153"/>
      <c r="N11" s="151"/>
      <c r="O11" s="153"/>
      <c r="P11" s="151"/>
      <c r="Q11" s="153"/>
      <c r="R11" s="151"/>
      <c r="S11" s="153"/>
      <c r="T11" s="151"/>
      <c r="U11" s="153"/>
      <c r="V11" s="151"/>
      <c r="W11" s="153"/>
      <c r="X11" s="151"/>
      <c r="Y11" s="153"/>
      <c r="Z11" s="61">
        <f t="shared" si="0"/>
        <v>0</v>
      </c>
      <c r="AA11" s="75">
        <f t="shared" si="1"/>
        <v>0</v>
      </c>
      <c r="AB11" s="151"/>
      <c r="AC11" s="153"/>
      <c r="AD11" s="143">
        <v>34223</v>
      </c>
      <c r="AE11" s="153">
        <v>34441</v>
      </c>
      <c r="AF11" s="151"/>
      <c r="AG11" s="153"/>
      <c r="AH11" s="151"/>
      <c r="AI11" s="153"/>
      <c r="AJ11" s="151"/>
      <c r="AK11" s="153"/>
      <c r="AL11" s="151"/>
      <c r="AM11" s="153"/>
      <c r="AN11" s="151"/>
      <c r="AO11" s="153"/>
      <c r="AP11" s="61">
        <f t="shared" si="2"/>
        <v>34223</v>
      </c>
      <c r="AQ11" s="75">
        <f t="shared" si="3"/>
        <v>34441</v>
      </c>
      <c r="AR11" s="150" t="s">
        <v>63</v>
      </c>
      <c r="AS11" s="149"/>
    </row>
    <row r="12" spans="1:45" ht="26.25" x14ac:dyDescent="0.25">
      <c r="A12" s="4" t="s">
        <v>55</v>
      </c>
      <c r="B12" s="4" t="s">
        <v>65</v>
      </c>
      <c r="C12" s="5" t="s">
        <v>60</v>
      </c>
      <c r="D12" s="151">
        <v>117176</v>
      </c>
      <c r="E12" s="153">
        <v>131104</v>
      </c>
      <c r="F12" s="151">
        <v>10</v>
      </c>
      <c r="G12" s="153">
        <v>10</v>
      </c>
      <c r="H12" s="151">
        <v>4130</v>
      </c>
      <c r="I12" s="153">
        <v>4130</v>
      </c>
      <c r="J12" s="151"/>
      <c r="K12" s="153"/>
      <c r="L12" s="151">
        <v>385</v>
      </c>
      <c r="M12" s="153">
        <v>360</v>
      </c>
      <c r="N12" s="151">
        <v>0</v>
      </c>
      <c r="O12" s="153"/>
      <c r="P12" s="151"/>
      <c r="Q12" s="153"/>
      <c r="R12" s="151">
        <v>430</v>
      </c>
      <c r="S12" s="153">
        <v>430</v>
      </c>
      <c r="T12" s="151"/>
      <c r="U12" s="153"/>
      <c r="V12" s="151"/>
      <c r="W12" s="153"/>
      <c r="X12" s="151"/>
      <c r="Y12" s="153"/>
      <c r="Z12" s="61">
        <f t="shared" si="0"/>
        <v>122131</v>
      </c>
      <c r="AA12" s="75">
        <f t="shared" si="1"/>
        <v>136034</v>
      </c>
      <c r="AB12" s="151"/>
      <c r="AC12" s="153"/>
      <c r="AD12" s="151">
        <v>8650</v>
      </c>
      <c r="AE12" s="153">
        <v>8350</v>
      </c>
      <c r="AF12" s="151">
        <v>1900</v>
      </c>
      <c r="AG12" s="153">
        <v>1500</v>
      </c>
      <c r="AH12" s="151"/>
      <c r="AI12" s="153"/>
      <c r="AJ12" s="151"/>
      <c r="AK12" s="153"/>
      <c r="AL12" s="151"/>
      <c r="AM12" s="153"/>
      <c r="AN12" s="151"/>
      <c r="AO12" s="153"/>
      <c r="AP12" s="61">
        <f t="shared" si="2"/>
        <v>132681</v>
      </c>
      <c r="AQ12" s="75">
        <f t="shared" si="3"/>
        <v>145884</v>
      </c>
      <c r="AR12" s="150" t="s">
        <v>61</v>
      </c>
      <c r="AS12" s="149"/>
    </row>
    <row r="13" spans="1:45" x14ac:dyDescent="0.25">
      <c r="A13" s="4" t="s">
        <v>55</v>
      </c>
      <c r="B13" s="4" t="s">
        <v>66</v>
      </c>
      <c r="C13" s="5" t="s">
        <v>67</v>
      </c>
      <c r="D13" s="151">
        <v>13178</v>
      </c>
      <c r="E13" s="153">
        <v>13526</v>
      </c>
      <c r="F13" s="151">
        <v>120</v>
      </c>
      <c r="G13" s="153">
        <v>135</v>
      </c>
      <c r="H13" s="151"/>
      <c r="I13" s="153"/>
      <c r="J13" s="151"/>
      <c r="K13" s="153"/>
      <c r="L13" s="151"/>
      <c r="M13" s="153"/>
      <c r="N13" s="151"/>
      <c r="O13" s="153"/>
      <c r="P13" s="151"/>
      <c r="Q13" s="153"/>
      <c r="R13" s="151">
        <v>220</v>
      </c>
      <c r="S13" s="153">
        <v>220</v>
      </c>
      <c r="T13" s="151"/>
      <c r="U13" s="153"/>
      <c r="V13" s="151"/>
      <c r="W13" s="153"/>
      <c r="X13" s="151"/>
      <c r="Y13" s="153"/>
      <c r="Z13" s="61">
        <f t="shared" si="0"/>
        <v>13518</v>
      </c>
      <c r="AA13" s="75">
        <f t="shared" si="1"/>
        <v>13881</v>
      </c>
      <c r="AB13" s="151"/>
      <c r="AC13" s="153"/>
      <c r="AD13" s="151">
        <v>235</v>
      </c>
      <c r="AE13" s="153">
        <v>195</v>
      </c>
      <c r="AF13" s="151">
        <v>865</v>
      </c>
      <c r="AG13" s="153">
        <v>815</v>
      </c>
      <c r="AH13" s="151"/>
      <c r="AI13" s="153"/>
      <c r="AJ13" s="151"/>
      <c r="AK13" s="153"/>
      <c r="AL13" s="151"/>
      <c r="AM13" s="153"/>
      <c r="AN13" s="151"/>
      <c r="AO13" s="153"/>
      <c r="AP13" s="61">
        <f t="shared" si="2"/>
        <v>14618</v>
      </c>
      <c r="AQ13" s="75">
        <f t="shared" si="3"/>
        <v>14891</v>
      </c>
      <c r="AR13" s="150" t="s">
        <v>68</v>
      </c>
      <c r="AS13" s="149"/>
    </row>
    <row r="14" spans="1:45" x14ac:dyDescent="0.25">
      <c r="A14" s="4" t="s">
        <v>55</v>
      </c>
      <c r="B14" s="4" t="s">
        <v>69</v>
      </c>
      <c r="C14" s="5" t="s">
        <v>70</v>
      </c>
      <c r="D14" s="151">
        <v>7550</v>
      </c>
      <c r="E14" s="153">
        <v>7890</v>
      </c>
      <c r="F14" s="151"/>
      <c r="G14" s="153"/>
      <c r="H14" s="151">
        <v>6325</v>
      </c>
      <c r="I14" s="153">
        <v>6200</v>
      </c>
      <c r="J14" s="151"/>
      <c r="K14" s="153"/>
      <c r="L14" s="151"/>
      <c r="M14" s="153"/>
      <c r="N14" s="151"/>
      <c r="O14" s="153"/>
      <c r="P14" s="151"/>
      <c r="Q14" s="153"/>
      <c r="R14" s="151">
        <v>350</v>
      </c>
      <c r="S14" s="153">
        <v>350</v>
      </c>
      <c r="T14" s="151"/>
      <c r="U14" s="153"/>
      <c r="V14" s="151"/>
      <c r="W14" s="153"/>
      <c r="X14" s="151">
        <v>200</v>
      </c>
      <c r="Y14" s="153"/>
      <c r="Z14" s="61">
        <f t="shared" si="0"/>
        <v>14425</v>
      </c>
      <c r="AA14" s="75">
        <f t="shared" si="1"/>
        <v>14440</v>
      </c>
      <c r="AB14" s="151"/>
      <c r="AC14" s="153"/>
      <c r="AD14" s="151">
        <v>1645</v>
      </c>
      <c r="AE14" s="153">
        <v>2297</v>
      </c>
      <c r="AF14" s="151">
        <v>3160</v>
      </c>
      <c r="AG14" s="153">
        <v>2935</v>
      </c>
      <c r="AH14" s="151"/>
      <c r="AI14" s="153"/>
      <c r="AJ14" s="151"/>
      <c r="AK14" s="153"/>
      <c r="AL14" s="151"/>
      <c r="AM14" s="153"/>
      <c r="AN14" s="151"/>
      <c r="AO14" s="153"/>
      <c r="AP14" s="61">
        <f t="shared" si="2"/>
        <v>19230</v>
      </c>
      <c r="AQ14" s="75">
        <f t="shared" si="3"/>
        <v>19672</v>
      </c>
      <c r="AR14" s="150" t="s">
        <v>71</v>
      </c>
      <c r="AS14" s="149"/>
    </row>
    <row r="15" spans="1:45" x14ac:dyDescent="0.25">
      <c r="A15" s="66" t="s">
        <v>55</v>
      </c>
      <c r="B15" s="66" t="s">
        <v>72</v>
      </c>
      <c r="C15" s="68" t="s">
        <v>73</v>
      </c>
      <c r="D15" s="143">
        <v>5867</v>
      </c>
      <c r="E15" s="153">
        <v>6259</v>
      </c>
      <c r="F15" s="151">
        <v>105</v>
      </c>
      <c r="G15" s="153">
        <v>105</v>
      </c>
      <c r="H15" s="151"/>
      <c r="I15" s="153"/>
      <c r="J15" s="151"/>
      <c r="K15" s="153"/>
      <c r="L15" s="151">
        <v>300</v>
      </c>
      <c r="M15" s="153">
        <v>300</v>
      </c>
      <c r="N15" s="151"/>
      <c r="O15" s="153"/>
      <c r="P15" s="151">
        <v>240</v>
      </c>
      <c r="Q15" s="153">
        <v>160</v>
      </c>
      <c r="R15" s="151">
        <v>50</v>
      </c>
      <c r="S15" s="153">
        <v>50</v>
      </c>
      <c r="T15" s="151"/>
      <c r="U15" s="153"/>
      <c r="V15" s="151"/>
      <c r="W15" s="153"/>
      <c r="X15" s="151"/>
      <c r="Y15" s="153"/>
      <c r="Z15" s="61">
        <f t="shared" si="0"/>
        <v>6562</v>
      </c>
      <c r="AA15" s="75">
        <f t="shared" si="1"/>
        <v>6874</v>
      </c>
      <c r="AB15" s="151">
        <v>30</v>
      </c>
      <c r="AC15" s="153">
        <v>30</v>
      </c>
      <c r="AD15" s="151">
        <v>340</v>
      </c>
      <c r="AE15" s="153">
        <v>900</v>
      </c>
      <c r="AF15" s="151">
        <v>1010</v>
      </c>
      <c r="AG15" s="153">
        <v>1668</v>
      </c>
      <c r="AH15" s="151">
        <v>2631</v>
      </c>
      <c r="AI15" s="153">
        <v>2590</v>
      </c>
      <c r="AJ15" s="151"/>
      <c r="AK15" s="153"/>
      <c r="AL15" s="151"/>
      <c r="AM15" s="153"/>
      <c r="AN15" s="151"/>
      <c r="AO15" s="153"/>
      <c r="AP15" s="61">
        <f t="shared" si="2"/>
        <v>10573</v>
      </c>
      <c r="AQ15" s="75">
        <f t="shared" si="3"/>
        <v>12062</v>
      </c>
      <c r="AR15" s="150" t="s">
        <v>74</v>
      </c>
      <c r="AS15" s="149"/>
    </row>
    <row r="16" spans="1:45" x14ac:dyDescent="0.25">
      <c r="A16" s="66" t="s">
        <v>55</v>
      </c>
      <c r="B16" s="66" t="s">
        <v>75</v>
      </c>
      <c r="C16" s="68" t="s">
        <v>73</v>
      </c>
      <c r="D16" s="143">
        <v>8696</v>
      </c>
      <c r="E16" s="153">
        <v>9269</v>
      </c>
      <c r="F16" s="151"/>
      <c r="G16" s="153"/>
      <c r="H16" s="151"/>
      <c r="I16" s="153"/>
      <c r="J16" s="151"/>
      <c r="K16" s="153"/>
      <c r="L16" s="151"/>
      <c r="M16" s="153"/>
      <c r="N16" s="151"/>
      <c r="O16" s="153"/>
      <c r="P16" s="151"/>
      <c r="Q16" s="153"/>
      <c r="R16" s="151"/>
      <c r="S16" s="153"/>
      <c r="T16" s="151"/>
      <c r="U16" s="153"/>
      <c r="V16" s="151"/>
      <c r="W16" s="153"/>
      <c r="X16" s="151"/>
      <c r="Y16" s="153"/>
      <c r="Z16" s="61">
        <f t="shared" si="0"/>
        <v>8696</v>
      </c>
      <c r="AA16" s="75">
        <f t="shared" si="1"/>
        <v>9269</v>
      </c>
      <c r="AB16" s="151"/>
      <c r="AC16" s="153"/>
      <c r="AD16" s="151"/>
      <c r="AE16" s="153"/>
      <c r="AF16" s="151"/>
      <c r="AG16" s="153"/>
      <c r="AH16" s="151"/>
      <c r="AI16" s="153"/>
      <c r="AJ16" s="151"/>
      <c r="AK16" s="153"/>
      <c r="AL16" s="151"/>
      <c r="AM16" s="153"/>
      <c r="AN16" s="151"/>
      <c r="AO16" s="153"/>
      <c r="AP16" s="61">
        <f t="shared" si="2"/>
        <v>8696</v>
      </c>
      <c r="AQ16" s="75">
        <f t="shared" si="3"/>
        <v>9269</v>
      </c>
      <c r="AR16" s="150"/>
      <c r="AS16" s="149"/>
    </row>
    <row r="17" spans="1:44" x14ac:dyDescent="0.25">
      <c r="A17" s="66" t="s">
        <v>55</v>
      </c>
      <c r="B17" s="66" t="s">
        <v>76</v>
      </c>
      <c r="C17" s="68" t="s">
        <v>73</v>
      </c>
      <c r="D17" s="143">
        <v>4616</v>
      </c>
      <c r="E17" s="153">
        <v>5013</v>
      </c>
      <c r="F17" s="151"/>
      <c r="G17" s="153"/>
      <c r="H17" s="151"/>
      <c r="I17" s="153"/>
      <c r="J17" s="151"/>
      <c r="K17" s="153"/>
      <c r="L17" s="151"/>
      <c r="M17" s="153"/>
      <c r="N17" s="151"/>
      <c r="O17" s="153"/>
      <c r="P17" s="151"/>
      <c r="Q17" s="153"/>
      <c r="R17" s="151"/>
      <c r="S17" s="153"/>
      <c r="T17" s="151"/>
      <c r="U17" s="153"/>
      <c r="V17" s="151"/>
      <c r="W17" s="153"/>
      <c r="X17" s="151"/>
      <c r="Y17" s="153"/>
      <c r="Z17" s="61">
        <f t="shared" si="0"/>
        <v>4616</v>
      </c>
      <c r="AA17" s="75">
        <f t="shared" si="1"/>
        <v>5013</v>
      </c>
      <c r="AB17" s="151"/>
      <c r="AC17" s="153"/>
      <c r="AD17" s="151"/>
      <c r="AE17" s="153"/>
      <c r="AF17" s="151"/>
      <c r="AG17" s="153"/>
      <c r="AH17" s="151"/>
      <c r="AI17" s="153"/>
      <c r="AJ17" s="151"/>
      <c r="AK17" s="153"/>
      <c r="AL17" s="151"/>
      <c r="AM17" s="153"/>
      <c r="AN17" s="151"/>
      <c r="AO17" s="153"/>
      <c r="AP17" s="61">
        <f t="shared" si="2"/>
        <v>4616</v>
      </c>
      <c r="AQ17" s="75">
        <f t="shared" si="3"/>
        <v>5013</v>
      </c>
      <c r="AR17" s="150"/>
    </row>
    <row r="18" spans="1:44" x14ac:dyDescent="0.25">
      <c r="A18" s="4" t="s">
        <v>55</v>
      </c>
      <c r="B18" s="4" t="s">
        <v>77</v>
      </c>
      <c r="C18" s="5" t="s">
        <v>73</v>
      </c>
      <c r="D18" s="151">
        <v>20698</v>
      </c>
      <c r="E18" s="153">
        <v>20793</v>
      </c>
      <c r="F18" s="151">
        <v>80</v>
      </c>
      <c r="G18" s="153">
        <v>72</v>
      </c>
      <c r="H18" s="151"/>
      <c r="I18" s="153"/>
      <c r="J18" s="151">
        <v>412</v>
      </c>
      <c r="K18" s="153">
        <v>350</v>
      </c>
      <c r="L18" s="151">
        <v>2700</v>
      </c>
      <c r="M18" s="153">
        <v>2700</v>
      </c>
      <c r="N18" s="151">
        <v>456</v>
      </c>
      <c r="O18" s="153">
        <v>420</v>
      </c>
      <c r="P18" s="151">
        <v>8470</v>
      </c>
      <c r="Q18" s="153">
        <v>8470</v>
      </c>
      <c r="R18" s="151">
        <v>800</v>
      </c>
      <c r="S18" s="153">
        <v>500</v>
      </c>
      <c r="T18" s="151"/>
      <c r="U18" s="153"/>
      <c r="V18" s="151"/>
      <c r="W18" s="153"/>
      <c r="X18" s="151"/>
      <c r="Y18" s="153"/>
      <c r="Z18" s="61">
        <f t="shared" si="0"/>
        <v>33616</v>
      </c>
      <c r="AA18" s="75">
        <f t="shared" si="1"/>
        <v>33305</v>
      </c>
      <c r="AB18" s="151"/>
      <c r="AC18" s="153"/>
      <c r="AD18" s="151">
        <v>5930</v>
      </c>
      <c r="AE18" s="153">
        <v>5365</v>
      </c>
      <c r="AF18" s="151">
        <v>4690</v>
      </c>
      <c r="AG18" s="153">
        <v>4480</v>
      </c>
      <c r="AH18" s="151"/>
      <c r="AI18" s="153"/>
      <c r="AJ18" s="151"/>
      <c r="AK18" s="153"/>
      <c r="AL18" s="151"/>
      <c r="AM18" s="153"/>
      <c r="AN18" s="151">
        <v>35</v>
      </c>
      <c r="AO18" s="153">
        <v>35</v>
      </c>
      <c r="AP18" s="61">
        <f t="shared" si="2"/>
        <v>44271</v>
      </c>
      <c r="AQ18" s="75">
        <f t="shared" si="3"/>
        <v>43185</v>
      </c>
      <c r="AR18" s="150" t="s">
        <v>74</v>
      </c>
    </row>
    <row r="19" spans="1:44" x14ac:dyDescent="0.25">
      <c r="A19" s="4" t="s">
        <v>55</v>
      </c>
      <c r="B19" s="4" t="s">
        <v>78</v>
      </c>
      <c r="C19" s="5" t="s">
        <v>79</v>
      </c>
      <c r="D19" s="151">
        <v>6999</v>
      </c>
      <c r="E19" s="153">
        <v>7178</v>
      </c>
      <c r="F19" s="151">
        <v>0</v>
      </c>
      <c r="G19" s="153">
        <v>0</v>
      </c>
      <c r="H19" s="151"/>
      <c r="I19" s="153"/>
      <c r="J19" s="151"/>
      <c r="K19" s="153"/>
      <c r="L19" s="151"/>
      <c r="M19" s="153"/>
      <c r="N19" s="151"/>
      <c r="O19" s="153"/>
      <c r="P19" s="151"/>
      <c r="Q19" s="153"/>
      <c r="R19" s="151">
        <v>300</v>
      </c>
      <c r="S19" s="153">
        <v>220</v>
      </c>
      <c r="T19" s="151"/>
      <c r="U19" s="153"/>
      <c r="V19" s="151"/>
      <c r="W19" s="153"/>
      <c r="X19" s="151"/>
      <c r="Y19" s="153"/>
      <c r="Z19" s="61">
        <f t="shared" si="0"/>
        <v>7299</v>
      </c>
      <c r="AA19" s="75">
        <f t="shared" si="1"/>
        <v>7398</v>
      </c>
      <c r="AB19" s="151">
        <v>30</v>
      </c>
      <c r="AC19" s="153">
        <v>30</v>
      </c>
      <c r="AD19" s="151">
        <v>150</v>
      </c>
      <c r="AE19" s="153">
        <v>100</v>
      </c>
      <c r="AF19" s="151">
        <v>640</v>
      </c>
      <c r="AG19" s="153">
        <v>713</v>
      </c>
      <c r="AH19" s="151"/>
      <c r="AI19" s="153"/>
      <c r="AJ19" s="151"/>
      <c r="AK19" s="153"/>
      <c r="AL19" s="151"/>
      <c r="AM19" s="153"/>
      <c r="AN19" s="151"/>
      <c r="AO19" s="153"/>
      <c r="AP19" s="61">
        <f t="shared" si="2"/>
        <v>8119</v>
      </c>
      <c r="AQ19" s="75">
        <f t="shared" si="3"/>
        <v>8241</v>
      </c>
      <c r="AR19" s="150" t="s">
        <v>80</v>
      </c>
    </row>
    <row r="20" spans="1:44" x14ac:dyDescent="0.25">
      <c r="A20" s="4" t="s">
        <v>55</v>
      </c>
      <c r="B20" s="4" t="s">
        <v>81</v>
      </c>
      <c r="C20" s="5" t="s">
        <v>82</v>
      </c>
      <c r="D20" s="151">
        <v>20520</v>
      </c>
      <c r="E20" s="153">
        <v>22098</v>
      </c>
      <c r="F20" s="151">
        <v>70</v>
      </c>
      <c r="G20" s="153">
        <v>70</v>
      </c>
      <c r="H20" s="151">
        <v>6325</v>
      </c>
      <c r="I20" s="153">
        <v>5995</v>
      </c>
      <c r="J20" s="151">
        <v>1310</v>
      </c>
      <c r="K20" s="153">
        <v>1610</v>
      </c>
      <c r="L20" s="151">
        <v>1630</v>
      </c>
      <c r="M20" s="153">
        <v>1900</v>
      </c>
      <c r="N20" s="151">
        <v>675</v>
      </c>
      <c r="O20" s="153">
        <v>670</v>
      </c>
      <c r="P20" s="151"/>
      <c r="Q20" s="153"/>
      <c r="R20" s="151">
        <v>150</v>
      </c>
      <c r="S20" s="153">
        <v>110</v>
      </c>
      <c r="T20" s="151">
        <v>5555</v>
      </c>
      <c r="U20" s="153">
        <v>5555</v>
      </c>
      <c r="V20" s="151"/>
      <c r="W20" s="153"/>
      <c r="X20" s="151"/>
      <c r="Y20" s="153"/>
      <c r="Z20" s="61">
        <f t="shared" si="0"/>
        <v>36235</v>
      </c>
      <c r="AA20" s="75">
        <f t="shared" si="1"/>
        <v>38008</v>
      </c>
      <c r="AB20" s="151"/>
      <c r="AC20" s="153"/>
      <c r="AD20" s="151">
        <v>2783</v>
      </c>
      <c r="AE20" s="153">
        <v>2316</v>
      </c>
      <c r="AF20" s="151">
        <v>2350</v>
      </c>
      <c r="AG20" s="153">
        <v>2100</v>
      </c>
      <c r="AH20" s="151"/>
      <c r="AI20" s="153"/>
      <c r="AJ20" s="151"/>
      <c r="AK20" s="153"/>
      <c r="AL20" s="151"/>
      <c r="AM20" s="153"/>
      <c r="AN20" s="151"/>
      <c r="AO20" s="153"/>
      <c r="AP20" s="61">
        <f t="shared" si="2"/>
        <v>41368</v>
      </c>
      <c r="AQ20" s="75">
        <f t="shared" si="3"/>
        <v>42424</v>
      </c>
      <c r="AR20" s="150" t="s">
        <v>80</v>
      </c>
    </row>
    <row r="21" spans="1:44" ht="26.25" x14ac:dyDescent="0.25">
      <c r="A21" s="4" t="s">
        <v>55</v>
      </c>
      <c r="B21" s="4" t="s">
        <v>83</v>
      </c>
      <c r="C21" s="5" t="s">
        <v>82</v>
      </c>
      <c r="D21" s="151">
        <f>31807+620</f>
        <v>32427</v>
      </c>
      <c r="E21" s="153">
        <v>30828</v>
      </c>
      <c r="F21" s="151"/>
      <c r="G21" s="153"/>
      <c r="H21" s="151"/>
      <c r="I21" s="153"/>
      <c r="J21" s="151"/>
      <c r="K21" s="153"/>
      <c r="L21" s="151"/>
      <c r="M21" s="153"/>
      <c r="N21" s="151"/>
      <c r="O21" s="153"/>
      <c r="P21" s="151"/>
      <c r="Q21" s="153"/>
      <c r="R21" s="151"/>
      <c r="S21" s="153"/>
      <c r="T21" s="151"/>
      <c r="U21" s="153"/>
      <c r="V21" s="151"/>
      <c r="W21" s="153"/>
      <c r="X21" s="151"/>
      <c r="Y21" s="153"/>
      <c r="Z21" s="61">
        <f t="shared" si="0"/>
        <v>32427</v>
      </c>
      <c r="AA21" s="75">
        <f t="shared" si="1"/>
        <v>30828</v>
      </c>
      <c r="AB21" s="151"/>
      <c r="AC21" s="153"/>
      <c r="AD21" s="151"/>
      <c r="AE21" s="153"/>
      <c r="AF21" s="151"/>
      <c r="AG21" s="153"/>
      <c r="AH21" s="151"/>
      <c r="AI21" s="153"/>
      <c r="AJ21" s="151"/>
      <c r="AK21" s="153"/>
      <c r="AL21" s="151"/>
      <c r="AM21" s="153"/>
      <c r="AN21" s="151"/>
      <c r="AO21" s="153"/>
      <c r="AP21" s="61">
        <f t="shared" si="2"/>
        <v>32427</v>
      </c>
      <c r="AQ21" s="75">
        <f t="shared" si="3"/>
        <v>30828</v>
      </c>
      <c r="AR21" s="150" t="s">
        <v>80</v>
      </c>
    </row>
    <row r="22" spans="1:44" ht="26.25" x14ac:dyDescent="0.25">
      <c r="A22" s="4" t="s">
        <v>55</v>
      </c>
      <c r="B22" s="4" t="s">
        <v>84</v>
      </c>
      <c r="C22" s="5" t="s">
        <v>82</v>
      </c>
      <c r="D22" s="143">
        <v>8384</v>
      </c>
      <c r="E22" s="153">
        <v>11240</v>
      </c>
      <c r="F22" s="151"/>
      <c r="G22" s="153"/>
      <c r="H22" s="151"/>
      <c r="I22" s="153"/>
      <c r="J22" s="151"/>
      <c r="K22" s="153"/>
      <c r="L22" s="151"/>
      <c r="M22" s="153"/>
      <c r="N22" s="151"/>
      <c r="O22" s="153"/>
      <c r="P22" s="151"/>
      <c r="Q22" s="153"/>
      <c r="R22" s="151"/>
      <c r="S22" s="153"/>
      <c r="T22" s="151"/>
      <c r="U22" s="153"/>
      <c r="V22" s="151"/>
      <c r="W22" s="153"/>
      <c r="X22" s="151"/>
      <c r="Y22" s="153"/>
      <c r="Z22" s="61">
        <f t="shared" si="0"/>
        <v>8384</v>
      </c>
      <c r="AA22" s="75">
        <f t="shared" si="1"/>
        <v>11240</v>
      </c>
      <c r="AB22" s="151"/>
      <c r="AC22" s="153"/>
      <c r="AD22" s="151"/>
      <c r="AE22" s="153"/>
      <c r="AF22" s="151"/>
      <c r="AG22" s="153"/>
      <c r="AH22" s="151"/>
      <c r="AI22" s="153"/>
      <c r="AJ22" s="151"/>
      <c r="AK22" s="153"/>
      <c r="AL22" s="151"/>
      <c r="AM22" s="153"/>
      <c r="AN22" s="151"/>
      <c r="AO22" s="153"/>
      <c r="AP22" s="61">
        <f t="shared" si="2"/>
        <v>8384</v>
      </c>
      <c r="AQ22" s="75">
        <f t="shared" si="3"/>
        <v>11240</v>
      </c>
      <c r="AR22" s="150" t="s">
        <v>80</v>
      </c>
    </row>
    <row r="23" spans="1:44" x14ac:dyDescent="0.25">
      <c r="A23" s="4" t="s">
        <v>55</v>
      </c>
      <c r="B23" s="4" t="s">
        <v>85</v>
      </c>
      <c r="C23" s="5" t="s">
        <v>86</v>
      </c>
      <c r="D23" s="151">
        <v>36348</v>
      </c>
      <c r="E23" s="153">
        <v>39316</v>
      </c>
      <c r="F23" s="151">
        <v>1630</v>
      </c>
      <c r="G23" s="153">
        <v>1630</v>
      </c>
      <c r="H23" s="151">
        <v>21080</v>
      </c>
      <c r="I23" s="153">
        <v>19845</v>
      </c>
      <c r="J23" s="151">
        <v>2320</v>
      </c>
      <c r="K23" s="153">
        <v>2125</v>
      </c>
      <c r="L23" s="151">
        <v>9500</v>
      </c>
      <c r="M23" s="153">
        <v>9615</v>
      </c>
      <c r="N23" s="151">
        <v>1035</v>
      </c>
      <c r="O23" s="153">
        <v>1060</v>
      </c>
      <c r="P23" s="151"/>
      <c r="Q23" s="153"/>
      <c r="R23" s="151">
        <v>400</v>
      </c>
      <c r="S23" s="153">
        <v>400</v>
      </c>
      <c r="T23" s="151">
        <v>2515</v>
      </c>
      <c r="U23" s="153">
        <v>2638</v>
      </c>
      <c r="V23" s="151"/>
      <c r="W23" s="153"/>
      <c r="X23" s="151"/>
      <c r="Y23" s="153"/>
      <c r="Z23" s="61">
        <f t="shared" si="0"/>
        <v>74828</v>
      </c>
      <c r="AA23" s="75">
        <f t="shared" si="1"/>
        <v>76629</v>
      </c>
      <c r="AB23" s="151">
        <v>60</v>
      </c>
      <c r="AC23" s="153">
        <v>60</v>
      </c>
      <c r="AD23" s="151">
        <v>6040</v>
      </c>
      <c r="AE23" s="153">
        <v>5730</v>
      </c>
      <c r="AF23" s="28">
        <v>5660</v>
      </c>
      <c r="AG23" s="153">
        <v>5010</v>
      </c>
      <c r="AH23" s="151"/>
      <c r="AI23" s="153"/>
      <c r="AJ23" s="151"/>
      <c r="AK23" s="153"/>
      <c r="AL23" s="151"/>
      <c r="AM23" s="153"/>
      <c r="AN23" s="151"/>
      <c r="AO23" s="153"/>
      <c r="AP23" s="61">
        <f t="shared" si="2"/>
        <v>86588</v>
      </c>
      <c r="AQ23" s="75">
        <f t="shared" si="3"/>
        <v>87429</v>
      </c>
      <c r="AR23" s="150" t="s">
        <v>80</v>
      </c>
    </row>
    <row r="24" spans="1:44" ht="26.25" x14ac:dyDescent="0.25">
      <c r="A24" s="4" t="s">
        <v>55</v>
      </c>
      <c r="B24" s="4" t="s">
        <v>87</v>
      </c>
      <c r="C24" s="5" t="s">
        <v>86</v>
      </c>
      <c r="D24" s="151">
        <f>7654+100</f>
        <v>7754</v>
      </c>
      <c r="E24" s="153">
        <v>15295</v>
      </c>
      <c r="F24" s="151"/>
      <c r="G24" s="153"/>
      <c r="H24" s="151"/>
      <c r="I24" s="153"/>
      <c r="J24" s="151"/>
      <c r="K24" s="153"/>
      <c r="L24" s="151"/>
      <c r="M24" s="153"/>
      <c r="N24" s="151"/>
      <c r="O24" s="153"/>
      <c r="P24" s="151"/>
      <c r="Q24" s="153"/>
      <c r="R24" s="151"/>
      <c r="S24" s="153"/>
      <c r="T24" s="151"/>
      <c r="U24" s="153"/>
      <c r="V24" s="151"/>
      <c r="W24" s="153"/>
      <c r="X24" s="151"/>
      <c r="Y24" s="153"/>
      <c r="Z24" s="61">
        <f t="shared" si="0"/>
        <v>7754</v>
      </c>
      <c r="AA24" s="75">
        <f t="shared" si="1"/>
        <v>15295</v>
      </c>
      <c r="AB24" s="151"/>
      <c r="AC24" s="153"/>
      <c r="AD24" s="151"/>
      <c r="AE24" s="153"/>
      <c r="AF24" s="151"/>
      <c r="AG24" s="153"/>
      <c r="AH24" s="151"/>
      <c r="AI24" s="153"/>
      <c r="AJ24" s="151"/>
      <c r="AK24" s="153"/>
      <c r="AL24" s="151"/>
      <c r="AM24" s="153"/>
      <c r="AN24" s="151"/>
      <c r="AO24" s="153"/>
      <c r="AP24" s="61">
        <f t="shared" si="2"/>
        <v>7754</v>
      </c>
      <c r="AQ24" s="75">
        <f t="shared" si="3"/>
        <v>15295</v>
      </c>
      <c r="AR24" s="150" t="s">
        <v>80</v>
      </c>
    </row>
    <row r="25" spans="1:44" ht="26.25" x14ac:dyDescent="0.25">
      <c r="A25" s="4" t="s">
        <v>55</v>
      </c>
      <c r="B25" s="4" t="s">
        <v>88</v>
      </c>
      <c r="C25" s="5" t="s">
        <v>86</v>
      </c>
      <c r="D25" s="151"/>
      <c r="E25" s="153"/>
      <c r="F25" s="151"/>
      <c r="G25" s="153"/>
      <c r="H25" s="151"/>
      <c r="I25" s="153"/>
      <c r="J25" s="151"/>
      <c r="K25" s="153"/>
      <c r="L25" s="151"/>
      <c r="M25" s="153"/>
      <c r="N25" s="151"/>
      <c r="O25" s="153"/>
      <c r="P25" s="151"/>
      <c r="Q25" s="153"/>
      <c r="R25" s="151"/>
      <c r="S25" s="153"/>
      <c r="T25" s="151">
        <v>1840</v>
      </c>
      <c r="U25" s="153">
        <v>1568</v>
      </c>
      <c r="V25" s="151"/>
      <c r="W25" s="153"/>
      <c r="X25" s="151"/>
      <c r="Y25" s="153"/>
      <c r="Z25" s="61">
        <f t="shared" si="0"/>
        <v>1840</v>
      </c>
      <c r="AA25" s="75">
        <f t="shared" si="1"/>
        <v>1568</v>
      </c>
      <c r="AB25" s="151"/>
      <c r="AC25" s="153"/>
      <c r="AD25" s="151"/>
      <c r="AE25" s="153"/>
      <c r="AF25" s="151"/>
      <c r="AG25" s="153"/>
      <c r="AH25" s="151"/>
      <c r="AI25" s="153"/>
      <c r="AJ25" s="151"/>
      <c r="AK25" s="153"/>
      <c r="AL25" s="151"/>
      <c r="AM25" s="153"/>
      <c r="AN25" s="151"/>
      <c r="AO25" s="153"/>
      <c r="AP25" s="61">
        <f t="shared" si="2"/>
        <v>1840</v>
      </c>
      <c r="AQ25" s="75">
        <f t="shared" si="3"/>
        <v>1568</v>
      </c>
      <c r="AR25" s="150" t="s">
        <v>80</v>
      </c>
    </row>
    <row r="26" spans="1:44" ht="26.25" x14ac:dyDescent="0.25">
      <c r="A26" s="4" t="s">
        <v>55</v>
      </c>
      <c r="B26" s="4" t="s">
        <v>89</v>
      </c>
      <c r="C26" s="5" t="s">
        <v>86</v>
      </c>
      <c r="D26" s="151"/>
      <c r="E26" s="153"/>
      <c r="F26" s="151"/>
      <c r="G26" s="153"/>
      <c r="H26" s="151"/>
      <c r="I26" s="153"/>
      <c r="J26" s="151"/>
      <c r="K26" s="153"/>
      <c r="L26" s="151"/>
      <c r="M26" s="153"/>
      <c r="N26" s="151"/>
      <c r="O26" s="153"/>
      <c r="P26" s="151"/>
      <c r="Q26" s="153"/>
      <c r="R26" s="151"/>
      <c r="S26" s="153"/>
      <c r="T26" s="151">
        <v>1840</v>
      </c>
      <c r="U26" s="153">
        <v>1568</v>
      </c>
      <c r="V26" s="151"/>
      <c r="W26" s="153"/>
      <c r="X26" s="151"/>
      <c r="Y26" s="153"/>
      <c r="Z26" s="61">
        <f t="shared" si="0"/>
        <v>1840</v>
      </c>
      <c r="AA26" s="75">
        <f t="shared" si="1"/>
        <v>1568</v>
      </c>
      <c r="AB26" s="151"/>
      <c r="AC26" s="153"/>
      <c r="AD26" s="151"/>
      <c r="AE26" s="153"/>
      <c r="AF26" s="151"/>
      <c r="AG26" s="153"/>
      <c r="AH26" s="151"/>
      <c r="AI26" s="153"/>
      <c r="AJ26" s="151"/>
      <c r="AK26" s="153"/>
      <c r="AL26" s="151"/>
      <c r="AM26" s="153"/>
      <c r="AN26" s="151"/>
      <c r="AO26" s="153"/>
      <c r="AP26" s="61">
        <f t="shared" si="2"/>
        <v>1840</v>
      </c>
      <c r="AQ26" s="75">
        <f t="shared" si="3"/>
        <v>1568</v>
      </c>
      <c r="AR26" s="150" t="s">
        <v>80</v>
      </c>
    </row>
    <row r="27" spans="1:44" x14ac:dyDescent="0.25">
      <c r="A27" s="4" t="s">
        <v>55</v>
      </c>
      <c r="B27" s="4" t="s">
        <v>90</v>
      </c>
      <c r="C27" s="5" t="s">
        <v>86</v>
      </c>
      <c r="D27" s="151"/>
      <c r="E27" s="153"/>
      <c r="F27" s="151"/>
      <c r="G27" s="153"/>
      <c r="H27" s="151"/>
      <c r="I27" s="153"/>
      <c r="J27" s="151"/>
      <c r="K27" s="153"/>
      <c r="L27" s="151"/>
      <c r="M27" s="153"/>
      <c r="N27" s="151"/>
      <c r="O27" s="153"/>
      <c r="P27" s="151"/>
      <c r="Q27" s="153"/>
      <c r="R27" s="151"/>
      <c r="S27" s="153"/>
      <c r="T27" s="151">
        <v>2870</v>
      </c>
      <c r="U27" s="153">
        <v>2950</v>
      </c>
      <c r="V27" s="151"/>
      <c r="W27" s="153"/>
      <c r="X27" s="151"/>
      <c r="Y27" s="153"/>
      <c r="Z27" s="61">
        <f t="shared" si="0"/>
        <v>2870</v>
      </c>
      <c r="AA27" s="75">
        <f t="shared" si="1"/>
        <v>2950</v>
      </c>
      <c r="AB27" s="151"/>
      <c r="AC27" s="153"/>
      <c r="AD27" s="151"/>
      <c r="AE27" s="153"/>
      <c r="AF27" s="151"/>
      <c r="AG27" s="153"/>
      <c r="AH27" s="151"/>
      <c r="AI27" s="153"/>
      <c r="AJ27" s="151"/>
      <c r="AK27" s="153"/>
      <c r="AL27" s="151"/>
      <c r="AM27" s="153"/>
      <c r="AN27" s="151"/>
      <c r="AO27" s="153"/>
      <c r="AP27" s="61">
        <f t="shared" si="2"/>
        <v>2870</v>
      </c>
      <c r="AQ27" s="75">
        <f t="shared" si="3"/>
        <v>2950</v>
      </c>
      <c r="AR27" s="150" t="s">
        <v>80</v>
      </c>
    </row>
    <row r="28" spans="1:44" x14ac:dyDescent="0.25">
      <c r="A28" s="4" t="s">
        <v>55</v>
      </c>
      <c r="B28" s="4" t="s">
        <v>91</v>
      </c>
      <c r="C28" s="5" t="s">
        <v>86</v>
      </c>
      <c r="D28" s="143">
        <v>70928</v>
      </c>
      <c r="E28" s="153">
        <v>73280</v>
      </c>
      <c r="F28" s="151"/>
      <c r="G28" s="153"/>
      <c r="H28" s="151"/>
      <c r="I28" s="153"/>
      <c r="J28" s="151"/>
      <c r="K28" s="153"/>
      <c r="L28" s="151"/>
      <c r="M28" s="153"/>
      <c r="N28" s="151"/>
      <c r="O28" s="153"/>
      <c r="P28" s="151"/>
      <c r="Q28" s="153"/>
      <c r="R28" s="151"/>
      <c r="S28" s="153"/>
      <c r="T28" s="151"/>
      <c r="U28" s="153"/>
      <c r="V28" s="151"/>
      <c r="W28" s="153"/>
      <c r="X28" s="151"/>
      <c r="Y28" s="153"/>
      <c r="Z28" s="61">
        <f t="shared" si="0"/>
        <v>70928</v>
      </c>
      <c r="AA28" s="75">
        <f t="shared" si="1"/>
        <v>73280</v>
      </c>
      <c r="AB28" s="151"/>
      <c r="AC28" s="153"/>
      <c r="AD28" s="151"/>
      <c r="AE28" s="153"/>
      <c r="AF28" s="151"/>
      <c r="AG28" s="153"/>
      <c r="AH28" s="151"/>
      <c r="AI28" s="153"/>
      <c r="AJ28" s="151"/>
      <c r="AK28" s="153"/>
      <c r="AL28" s="151"/>
      <c r="AM28" s="153"/>
      <c r="AN28" s="151"/>
      <c r="AO28" s="153"/>
      <c r="AP28" s="61">
        <f t="shared" si="2"/>
        <v>70928</v>
      </c>
      <c r="AQ28" s="75">
        <f t="shared" si="3"/>
        <v>73280</v>
      </c>
      <c r="AR28" s="150" t="s">
        <v>80</v>
      </c>
    </row>
    <row r="29" spans="1:44" ht="26.25" x14ac:dyDescent="0.25">
      <c r="A29" s="4" t="s">
        <v>55</v>
      </c>
      <c r="B29" s="4" t="s">
        <v>92</v>
      </c>
      <c r="C29" s="5" t="s">
        <v>93</v>
      </c>
      <c r="D29" s="143">
        <v>3568</v>
      </c>
      <c r="E29" s="153">
        <v>3460</v>
      </c>
      <c r="F29" s="151"/>
      <c r="G29" s="153"/>
      <c r="H29" s="151"/>
      <c r="I29" s="153"/>
      <c r="J29" s="151"/>
      <c r="K29" s="153"/>
      <c r="L29" s="151"/>
      <c r="M29" s="153"/>
      <c r="N29" s="151"/>
      <c r="O29" s="153"/>
      <c r="P29" s="151"/>
      <c r="Q29" s="153"/>
      <c r="R29" s="151"/>
      <c r="S29" s="153"/>
      <c r="T29" s="151"/>
      <c r="U29" s="153"/>
      <c r="V29" s="151"/>
      <c r="W29" s="153"/>
      <c r="X29" s="151"/>
      <c r="Y29" s="153"/>
      <c r="Z29" s="61">
        <f t="shared" si="0"/>
        <v>3568</v>
      </c>
      <c r="AA29" s="75">
        <f t="shared" si="1"/>
        <v>3460</v>
      </c>
      <c r="AB29" s="151"/>
      <c r="AC29" s="153"/>
      <c r="AD29" s="151"/>
      <c r="AE29" s="153"/>
      <c r="AF29" s="151"/>
      <c r="AG29" s="153"/>
      <c r="AH29" s="151"/>
      <c r="AI29" s="153"/>
      <c r="AJ29" s="151"/>
      <c r="AK29" s="153"/>
      <c r="AL29" s="151"/>
      <c r="AM29" s="153"/>
      <c r="AN29" s="151"/>
      <c r="AO29" s="153"/>
      <c r="AP29" s="61">
        <f t="shared" si="2"/>
        <v>3568</v>
      </c>
      <c r="AQ29" s="75">
        <f t="shared" si="3"/>
        <v>3460</v>
      </c>
      <c r="AR29" s="150" t="s">
        <v>94</v>
      </c>
    </row>
    <row r="30" spans="1:44" ht="28.5" customHeight="1" x14ac:dyDescent="0.25">
      <c r="A30" s="4" t="s">
        <v>55</v>
      </c>
      <c r="B30" s="4" t="s">
        <v>95</v>
      </c>
      <c r="C30" s="5" t="s">
        <v>96</v>
      </c>
      <c r="D30" s="151"/>
      <c r="E30" s="153"/>
      <c r="F30" s="151"/>
      <c r="G30" s="153"/>
      <c r="H30" s="151"/>
      <c r="I30" s="153"/>
      <c r="J30" s="151"/>
      <c r="K30" s="153"/>
      <c r="L30" s="151"/>
      <c r="M30" s="153"/>
      <c r="N30" s="151"/>
      <c r="O30" s="153"/>
      <c r="P30" s="151"/>
      <c r="Q30" s="153"/>
      <c r="R30" s="151"/>
      <c r="S30" s="153"/>
      <c r="T30" s="151"/>
      <c r="U30" s="153"/>
      <c r="V30" s="151">
        <v>5500</v>
      </c>
      <c r="W30" s="153">
        <v>3240</v>
      </c>
      <c r="X30" s="151"/>
      <c r="Y30" s="153"/>
      <c r="Z30" s="61">
        <f t="shared" si="0"/>
        <v>5500</v>
      </c>
      <c r="AA30" s="75">
        <f t="shared" si="1"/>
        <v>3240</v>
      </c>
      <c r="AB30" s="151"/>
      <c r="AC30" s="153"/>
      <c r="AD30" s="151"/>
      <c r="AE30" s="153"/>
      <c r="AF30" s="151"/>
      <c r="AG30" s="153"/>
      <c r="AH30" s="151"/>
      <c r="AI30" s="153"/>
      <c r="AJ30" s="151"/>
      <c r="AK30" s="153"/>
      <c r="AL30" s="151"/>
      <c r="AM30" s="153"/>
      <c r="AN30" s="151"/>
      <c r="AO30" s="153"/>
      <c r="AP30" s="61">
        <f t="shared" si="2"/>
        <v>5500</v>
      </c>
      <c r="AQ30" s="75">
        <f t="shared" si="3"/>
        <v>3240</v>
      </c>
      <c r="AR30" s="150" t="s">
        <v>80</v>
      </c>
    </row>
    <row r="31" spans="1:44" x14ac:dyDescent="0.25">
      <c r="A31" s="4" t="s">
        <v>55</v>
      </c>
      <c r="B31" s="4" t="s">
        <v>97</v>
      </c>
      <c r="C31" s="5" t="s">
        <v>96</v>
      </c>
      <c r="D31" s="151"/>
      <c r="E31" s="153"/>
      <c r="F31" s="151"/>
      <c r="G31" s="153"/>
      <c r="H31" s="151"/>
      <c r="I31" s="153"/>
      <c r="J31" s="151"/>
      <c r="K31" s="153"/>
      <c r="L31" s="151"/>
      <c r="M31" s="153"/>
      <c r="N31" s="151"/>
      <c r="O31" s="153"/>
      <c r="P31" s="151"/>
      <c r="Q31" s="153"/>
      <c r="R31" s="151">
        <v>6570</v>
      </c>
      <c r="S31" s="153">
        <v>6210</v>
      </c>
      <c r="T31" s="151"/>
      <c r="U31" s="153"/>
      <c r="V31" s="151">
        <v>3000</v>
      </c>
      <c r="W31" s="153">
        <v>1350</v>
      </c>
      <c r="X31" s="151"/>
      <c r="Y31" s="153"/>
      <c r="Z31" s="61">
        <f t="shared" si="0"/>
        <v>9570</v>
      </c>
      <c r="AA31" s="75">
        <f t="shared" si="1"/>
        <v>7560</v>
      </c>
      <c r="AB31" s="151"/>
      <c r="AC31" s="153"/>
      <c r="AD31" s="151">
        <v>2800</v>
      </c>
      <c r="AE31" s="153">
        <v>3645</v>
      </c>
      <c r="AF31" s="151"/>
      <c r="AG31" s="153">
        <v>80</v>
      </c>
      <c r="AH31" s="151"/>
      <c r="AI31" s="153"/>
      <c r="AJ31" s="151"/>
      <c r="AK31" s="153"/>
      <c r="AL31" s="151"/>
      <c r="AM31" s="153"/>
      <c r="AN31" s="151"/>
      <c r="AO31" s="153"/>
      <c r="AP31" s="61">
        <f t="shared" si="2"/>
        <v>12370</v>
      </c>
      <c r="AQ31" s="75">
        <f t="shared" si="3"/>
        <v>11285</v>
      </c>
      <c r="AR31" s="150" t="s">
        <v>80</v>
      </c>
    </row>
    <row r="32" spans="1:44" x14ac:dyDescent="0.25">
      <c r="A32" s="4" t="s">
        <v>55</v>
      </c>
      <c r="B32" s="4" t="s">
        <v>98</v>
      </c>
      <c r="C32" s="5" t="s">
        <v>99</v>
      </c>
      <c r="D32" s="151"/>
      <c r="E32" s="153"/>
      <c r="F32" s="151"/>
      <c r="G32" s="153"/>
      <c r="H32" s="151"/>
      <c r="I32" s="153"/>
      <c r="J32" s="151"/>
      <c r="K32" s="153"/>
      <c r="L32" s="151"/>
      <c r="M32" s="153"/>
      <c r="N32" s="151"/>
      <c r="O32" s="153"/>
      <c r="P32" s="151"/>
      <c r="Q32" s="153"/>
      <c r="R32" s="151">
        <v>240</v>
      </c>
      <c r="S32" s="153">
        <v>240</v>
      </c>
      <c r="T32" s="151"/>
      <c r="U32" s="153"/>
      <c r="V32" s="151"/>
      <c r="W32" s="153"/>
      <c r="X32" s="151"/>
      <c r="Y32" s="153"/>
      <c r="Z32" s="61">
        <f t="shared" si="0"/>
        <v>240</v>
      </c>
      <c r="AA32" s="75">
        <f t="shared" si="1"/>
        <v>240</v>
      </c>
      <c r="AB32" s="151"/>
      <c r="AC32" s="153"/>
      <c r="AD32" s="151">
        <v>65</v>
      </c>
      <c r="AE32" s="153">
        <v>0</v>
      </c>
      <c r="AF32" s="151">
        <v>55</v>
      </c>
      <c r="AG32" s="153">
        <v>100</v>
      </c>
      <c r="AH32" s="151"/>
      <c r="AI32" s="153"/>
      <c r="AJ32" s="151"/>
      <c r="AK32" s="153"/>
      <c r="AL32" s="151"/>
      <c r="AM32" s="153"/>
      <c r="AN32" s="151"/>
      <c r="AO32" s="153"/>
      <c r="AP32" s="61">
        <f t="shared" si="2"/>
        <v>360</v>
      </c>
      <c r="AQ32" s="75">
        <f t="shared" si="3"/>
        <v>340</v>
      </c>
      <c r="AR32" s="150" t="s">
        <v>58</v>
      </c>
    </row>
    <row r="33" spans="1:44" ht="30" x14ac:dyDescent="0.25">
      <c r="A33" s="4" t="s">
        <v>55</v>
      </c>
      <c r="B33" s="4" t="s">
        <v>100</v>
      </c>
      <c r="C33" s="5" t="s">
        <v>101</v>
      </c>
      <c r="D33" s="151"/>
      <c r="E33" s="153"/>
      <c r="F33" s="151"/>
      <c r="G33" s="153"/>
      <c r="H33" s="151"/>
      <c r="I33" s="153"/>
      <c r="J33" s="151"/>
      <c r="K33" s="153"/>
      <c r="L33" s="151"/>
      <c r="M33" s="153"/>
      <c r="N33" s="151"/>
      <c r="O33" s="153"/>
      <c r="P33" s="151"/>
      <c r="Q33" s="153"/>
      <c r="R33" s="151"/>
      <c r="S33" s="153"/>
      <c r="T33" s="151"/>
      <c r="U33" s="153"/>
      <c r="V33" s="151"/>
      <c r="W33" s="153"/>
      <c r="X33" s="151"/>
      <c r="Y33" s="153"/>
      <c r="Z33" s="61">
        <f t="shared" si="0"/>
        <v>0</v>
      </c>
      <c r="AA33" s="75">
        <f t="shared" si="1"/>
        <v>0</v>
      </c>
      <c r="AB33" s="151"/>
      <c r="AC33" s="153"/>
      <c r="AD33" s="151"/>
      <c r="AE33" s="153"/>
      <c r="AF33" s="151"/>
      <c r="AG33" s="153"/>
      <c r="AH33" s="151"/>
      <c r="AI33" s="153"/>
      <c r="AJ33" s="151"/>
      <c r="AK33" s="153"/>
      <c r="AL33" s="151">
        <v>13828</v>
      </c>
      <c r="AM33" s="153">
        <v>13828</v>
      </c>
      <c r="AN33" s="151"/>
      <c r="AO33" s="153"/>
      <c r="AP33" s="61">
        <f t="shared" si="2"/>
        <v>13828</v>
      </c>
      <c r="AQ33" s="75">
        <f t="shared" si="3"/>
        <v>13828</v>
      </c>
      <c r="AR33" s="150" t="s">
        <v>102</v>
      </c>
    </row>
    <row r="34" spans="1:44" ht="30" x14ac:dyDescent="0.25">
      <c r="A34" s="4" t="s">
        <v>55</v>
      </c>
      <c r="B34" s="4" t="s">
        <v>103</v>
      </c>
      <c r="C34" s="5" t="s">
        <v>104</v>
      </c>
      <c r="D34" s="151"/>
      <c r="E34" s="153"/>
      <c r="F34" s="151"/>
      <c r="G34" s="153"/>
      <c r="H34" s="151"/>
      <c r="I34" s="153"/>
      <c r="J34" s="151"/>
      <c r="K34" s="153"/>
      <c r="L34" s="151"/>
      <c r="M34" s="153"/>
      <c r="N34" s="151"/>
      <c r="O34" s="153"/>
      <c r="P34" s="151"/>
      <c r="Q34" s="153"/>
      <c r="R34" s="151">
        <v>1700</v>
      </c>
      <c r="S34" s="153">
        <v>2000</v>
      </c>
      <c r="T34" s="151"/>
      <c r="U34" s="153"/>
      <c r="V34" s="151"/>
      <c r="W34" s="153"/>
      <c r="X34" s="151"/>
      <c r="Y34" s="153"/>
      <c r="Z34" s="61">
        <f t="shared" si="0"/>
        <v>1700</v>
      </c>
      <c r="AA34" s="75">
        <f t="shared" si="1"/>
        <v>2000</v>
      </c>
      <c r="AB34" s="151"/>
      <c r="AC34" s="153"/>
      <c r="AD34" s="151"/>
      <c r="AE34" s="153"/>
      <c r="AF34" s="151">
        <v>85</v>
      </c>
      <c r="AG34" s="153">
        <v>80</v>
      </c>
      <c r="AH34" s="151"/>
      <c r="AI34" s="153"/>
      <c r="AJ34" s="151"/>
      <c r="AK34" s="153"/>
      <c r="AL34" s="151"/>
      <c r="AM34" s="153"/>
      <c r="AN34" s="151"/>
      <c r="AO34" s="153"/>
      <c r="AP34" s="61">
        <f t="shared" si="2"/>
        <v>1785</v>
      </c>
      <c r="AQ34" s="75">
        <f t="shared" si="3"/>
        <v>2080</v>
      </c>
      <c r="AR34" s="150" t="s">
        <v>102</v>
      </c>
    </row>
    <row r="35" spans="1:44" x14ac:dyDescent="0.25">
      <c r="A35" s="4" t="s">
        <v>55</v>
      </c>
      <c r="B35" s="4" t="s">
        <v>105</v>
      </c>
      <c r="C35" s="5"/>
      <c r="D35" s="151">
        <v>7248</v>
      </c>
      <c r="E35" s="153">
        <v>7558</v>
      </c>
      <c r="F35" s="151"/>
      <c r="G35" s="153"/>
      <c r="H35" s="151"/>
      <c r="I35" s="153"/>
      <c r="J35" s="151"/>
      <c r="K35" s="153"/>
      <c r="L35" s="151"/>
      <c r="M35" s="153"/>
      <c r="N35" s="151"/>
      <c r="O35" s="153"/>
      <c r="P35" s="151"/>
      <c r="Q35" s="153"/>
      <c r="R35" s="151"/>
      <c r="S35" s="153"/>
      <c r="T35" s="151"/>
      <c r="U35" s="153"/>
      <c r="V35" s="151"/>
      <c r="W35" s="153"/>
      <c r="X35" s="151"/>
      <c r="Y35" s="153"/>
      <c r="Z35" s="61">
        <f t="shared" si="0"/>
        <v>7248</v>
      </c>
      <c r="AA35" s="75">
        <f t="shared" si="1"/>
        <v>7558</v>
      </c>
      <c r="AB35" s="151"/>
      <c r="AC35" s="153"/>
      <c r="AD35" s="151"/>
      <c r="AE35" s="153"/>
      <c r="AF35" s="151"/>
      <c r="AG35" s="153"/>
      <c r="AH35" s="151"/>
      <c r="AI35" s="153"/>
      <c r="AJ35" s="151"/>
      <c r="AK35" s="153"/>
      <c r="AL35" s="151"/>
      <c r="AM35" s="153"/>
      <c r="AN35" s="151"/>
      <c r="AO35" s="153"/>
      <c r="AP35" s="61">
        <f t="shared" si="2"/>
        <v>7248</v>
      </c>
      <c r="AQ35" s="75">
        <f t="shared" si="3"/>
        <v>7558</v>
      </c>
      <c r="AR35" s="150" t="s">
        <v>58</v>
      </c>
    </row>
    <row r="36" spans="1:44" x14ac:dyDescent="0.25">
      <c r="A36" s="4" t="s">
        <v>55</v>
      </c>
      <c r="B36" s="4" t="s">
        <v>106</v>
      </c>
      <c r="C36" s="5"/>
      <c r="D36" s="151">
        <v>6598</v>
      </c>
      <c r="E36" s="153">
        <v>6478</v>
      </c>
      <c r="F36" s="151"/>
      <c r="G36" s="153"/>
      <c r="H36" s="151"/>
      <c r="I36" s="153"/>
      <c r="J36" s="151"/>
      <c r="K36" s="153"/>
      <c r="L36" s="151"/>
      <c r="M36" s="153"/>
      <c r="N36" s="151"/>
      <c r="O36" s="153"/>
      <c r="P36" s="151"/>
      <c r="Q36" s="153"/>
      <c r="R36" s="151"/>
      <c r="S36" s="153"/>
      <c r="T36" s="151"/>
      <c r="U36" s="153"/>
      <c r="V36" s="151"/>
      <c r="W36" s="153"/>
      <c r="X36" s="151"/>
      <c r="Y36" s="153"/>
      <c r="Z36" s="61">
        <f t="shared" si="0"/>
        <v>6598</v>
      </c>
      <c r="AA36" s="75">
        <f t="shared" si="1"/>
        <v>6478</v>
      </c>
      <c r="AB36" s="151"/>
      <c r="AC36" s="153"/>
      <c r="AD36" s="151"/>
      <c r="AE36" s="153"/>
      <c r="AF36" s="151"/>
      <c r="AG36" s="153"/>
      <c r="AH36" s="151"/>
      <c r="AI36" s="153"/>
      <c r="AJ36" s="151"/>
      <c r="AK36" s="153"/>
      <c r="AL36" s="151"/>
      <c r="AM36" s="153"/>
      <c r="AN36" s="151"/>
      <c r="AO36" s="153"/>
      <c r="AP36" s="61">
        <f t="shared" si="2"/>
        <v>6598</v>
      </c>
      <c r="AQ36" s="75">
        <f t="shared" si="3"/>
        <v>6478</v>
      </c>
      <c r="AR36" s="150" t="s">
        <v>58</v>
      </c>
    </row>
    <row r="37" spans="1:44" x14ac:dyDescent="0.25">
      <c r="A37" s="16" t="s">
        <v>107</v>
      </c>
      <c r="B37" s="16" t="s">
        <v>108</v>
      </c>
      <c r="C37" s="17"/>
      <c r="D37" s="18">
        <f t="shared" ref="D37:AQ37" si="4">SUM(D8:D36)</f>
        <v>440051</v>
      </c>
      <c r="E37" s="105">
        <f t="shared" si="4"/>
        <v>459171</v>
      </c>
      <c r="F37" s="18">
        <f t="shared" si="4"/>
        <v>3935</v>
      </c>
      <c r="G37" s="18">
        <f t="shared" si="4"/>
        <v>4097</v>
      </c>
      <c r="H37" s="18">
        <f t="shared" si="4"/>
        <v>40760</v>
      </c>
      <c r="I37" s="18">
        <f t="shared" si="4"/>
        <v>38920</v>
      </c>
      <c r="J37" s="18">
        <f t="shared" si="4"/>
        <v>4042</v>
      </c>
      <c r="K37" s="18">
        <f t="shared" si="4"/>
        <v>4085</v>
      </c>
      <c r="L37" s="18">
        <f t="shared" si="4"/>
        <v>17365</v>
      </c>
      <c r="M37" s="18">
        <f t="shared" si="4"/>
        <v>17625</v>
      </c>
      <c r="N37" s="18">
        <f t="shared" si="4"/>
        <v>4021</v>
      </c>
      <c r="O37" s="18">
        <f t="shared" si="4"/>
        <v>4005</v>
      </c>
      <c r="P37" s="18">
        <f t="shared" si="4"/>
        <v>8710</v>
      </c>
      <c r="Q37" s="18">
        <f t="shared" si="4"/>
        <v>8630</v>
      </c>
      <c r="R37" s="18">
        <f t="shared" si="4"/>
        <v>17010</v>
      </c>
      <c r="S37" s="18">
        <f t="shared" si="4"/>
        <v>16730</v>
      </c>
      <c r="T37" s="18">
        <f t="shared" si="4"/>
        <v>14620</v>
      </c>
      <c r="U37" s="18">
        <f t="shared" si="4"/>
        <v>14279</v>
      </c>
      <c r="V37" s="18">
        <f t="shared" si="4"/>
        <v>8500</v>
      </c>
      <c r="W37" s="18">
        <f t="shared" si="4"/>
        <v>4590</v>
      </c>
      <c r="X37" s="18">
        <f t="shared" si="4"/>
        <v>200</v>
      </c>
      <c r="Y37" s="18">
        <f t="shared" si="4"/>
        <v>0</v>
      </c>
      <c r="Z37" s="18">
        <f t="shared" si="4"/>
        <v>559214</v>
      </c>
      <c r="AA37" s="18">
        <f t="shared" si="4"/>
        <v>572132</v>
      </c>
      <c r="AB37" s="18">
        <f t="shared" si="4"/>
        <v>120</v>
      </c>
      <c r="AC37" s="18">
        <f t="shared" si="4"/>
        <v>120</v>
      </c>
      <c r="AD37" s="18">
        <f t="shared" si="4"/>
        <v>89143</v>
      </c>
      <c r="AE37" s="18">
        <f t="shared" si="4"/>
        <v>90634</v>
      </c>
      <c r="AF37" s="18">
        <f t="shared" si="4"/>
        <v>28355</v>
      </c>
      <c r="AG37" s="18">
        <f t="shared" si="4"/>
        <v>26681</v>
      </c>
      <c r="AH37" s="18">
        <f t="shared" si="4"/>
        <v>2631</v>
      </c>
      <c r="AI37" s="18">
        <f t="shared" si="4"/>
        <v>2590</v>
      </c>
      <c r="AJ37" s="18">
        <f t="shared" si="4"/>
        <v>0</v>
      </c>
      <c r="AK37" s="18">
        <f t="shared" si="4"/>
        <v>0</v>
      </c>
      <c r="AL37" s="18">
        <f t="shared" si="4"/>
        <v>13828</v>
      </c>
      <c r="AM37" s="18">
        <f t="shared" si="4"/>
        <v>13828</v>
      </c>
      <c r="AN37" s="18">
        <f t="shared" si="4"/>
        <v>935</v>
      </c>
      <c r="AO37" s="18">
        <f t="shared" si="4"/>
        <v>135</v>
      </c>
      <c r="AP37" s="18">
        <f t="shared" si="4"/>
        <v>694226</v>
      </c>
      <c r="AQ37" s="18">
        <f t="shared" si="4"/>
        <v>706120</v>
      </c>
      <c r="AR37" s="150"/>
    </row>
    <row r="38" spans="1:44" x14ac:dyDescent="0.25">
      <c r="A38" s="4" t="s">
        <v>109</v>
      </c>
      <c r="B38" s="4" t="s">
        <v>56</v>
      </c>
      <c r="C38" s="5" t="s">
        <v>57</v>
      </c>
      <c r="D38" s="151">
        <v>27441</v>
      </c>
      <c r="E38" s="153">
        <v>25939</v>
      </c>
      <c r="F38" s="151">
        <v>700</v>
      </c>
      <c r="G38" s="153">
        <v>680</v>
      </c>
      <c r="H38" s="151">
        <v>2800</v>
      </c>
      <c r="I38" s="153">
        <v>2600</v>
      </c>
      <c r="J38" s="151">
        <v>80</v>
      </c>
      <c r="K38" s="153">
        <v>80</v>
      </c>
      <c r="L38" s="151">
        <v>660</v>
      </c>
      <c r="M38" s="153">
        <v>630</v>
      </c>
      <c r="N38" s="151">
        <v>130</v>
      </c>
      <c r="O38" s="153">
        <v>130</v>
      </c>
      <c r="P38" s="151"/>
      <c r="Q38" s="153"/>
      <c r="R38" s="151">
        <v>1750</v>
      </c>
      <c r="S38" s="153">
        <v>1500</v>
      </c>
      <c r="T38" s="151"/>
      <c r="U38" s="153"/>
      <c r="V38" s="151"/>
      <c r="W38" s="153"/>
      <c r="X38" s="151"/>
      <c r="Y38" s="153"/>
      <c r="Z38" s="61">
        <f t="shared" ref="Z38:Z69" si="5">D38+F38+H38+J38+L38+P38+R38+T38+V38+X38+N38</f>
        <v>33561</v>
      </c>
      <c r="AA38" s="75">
        <f t="shared" ref="AA38:AA69" si="6">E38+G38+I38+K38+M38+Q38+S38+U38+W38+Y38+O38</f>
        <v>31559</v>
      </c>
      <c r="AB38" s="151">
        <v>150</v>
      </c>
      <c r="AC38" s="153">
        <v>100</v>
      </c>
      <c r="AD38" s="151">
        <v>8050</v>
      </c>
      <c r="AE38" s="153">
        <v>7400</v>
      </c>
      <c r="AF38" s="151">
        <v>4600</v>
      </c>
      <c r="AG38" s="153">
        <v>4500</v>
      </c>
      <c r="AH38" s="151"/>
      <c r="AI38" s="153"/>
      <c r="AJ38" s="151"/>
      <c r="AK38" s="153"/>
      <c r="AL38" s="151"/>
      <c r="AM38" s="153"/>
      <c r="AN38" s="151"/>
      <c r="AO38" s="153"/>
      <c r="AP38" s="61">
        <f t="shared" ref="AP38:AP69" si="7">Z38+AB38+AD38+AF38+AH38+AJ38+AL38+AN38</f>
        <v>46361</v>
      </c>
      <c r="AQ38" s="75">
        <f t="shared" ref="AQ38:AQ69" si="8">AA38+AC38+AE38+AG38+AI38+AK38+AM38+AO38</f>
        <v>43559</v>
      </c>
      <c r="AR38" s="150" t="s">
        <v>58</v>
      </c>
    </row>
    <row r="39" spans="1:44" x14ac:dyDescent="0.25">
      <c r="A39" s="4" t="s">
        <v>109</v>
      </c>
      <c r="B39" s="4" t="s">
        <v>98</v>
      </c>
      <c r="C39" s="5" t="s">
        <v>99</v>
      </c>
      <c r="D39" s="151"/>
      <c r="E39" s="153"/>
      <c r="F39" s="151">
        <v>170</v>
      </c>
      <c r="G39" s="153">
        <v>170</v>
      </c>
      <c r="H39" s="151"/>
      <c r="I39" s="153"/>
      <c r="J39" s="151"/>
      <c r="K39" s="153"/>
      <c r="L39" s="151"/>
      <c r="M39" s="153"/>
      <c r="N39" s="151"/>
      <c r="O39" s="153"/>
      <c r="P39" s="151"/>
      <c r="Q39" s="153"/>
      <c r="R39" s="151">
        <v>130</v>
      </c>
      <c r="S39" s="153">
        <v>120</v>
      </c>
      <c r="T39" s="151"/>
      <c r="U39" s="153"/>
      <c r="V39" s="151"/>
      <c r="W39" s="153"/>
      <c r="X39" s="151"/>
      <c r="Y39" s="153"/>
      <c r="Z39" s="61">
        <f t="shared" si="5"/>
        <v>300</v>
      </c>
      <c r="AA39" s="75">
        <f t="shared" si="6"/>
        <v>290</v>
      </c>
      <c r="AB39" s="151"/>
      <c r="AC39" s="153"/>
      <c r="AD39" s="151">
        <v>80</v>
      </c>
      <c r="AE39" s="153">
        <v>60</v>
      </c>
      <c r="AF39" s="151">
        <v>100</v>
      </c>
      <c r="AG39" s="153">
        <v>90</v>
      </c>
      <c r="AH39" s="151"/>
      <c r="AI39" s="153"/>
      <c r="AJ39" s="151"/>
      <c r="AK39" s="153"/>
      <c r="AL39" s="151"/>
      <c r="AM39" s="153"/>
      <c r="AN39" s="151"/>
      <c r="AO39" s="153"/>
      <c r="AP39" s="61">
        <f t="shared" si="7"/>
        <v>480</v>
      </c>
      <c r="AQ39" s="75">
        <f t="shared" si="8"/>
        <v>440</v>
      </c>
      <c r="AR39" s="150" t="s">
        <v>58</v>
      </c>
    </row>
    <row r="40" spans="1:44" ht="30" x14ac:dyDescent="0.25">
      <c r="A40" s="4" t="s">
        <v>109</v>
      </c>
      <c r="B40" s="4" t="s">
        <v>110</v>
      </c>
      <c r="C40" s="5" t="s">
        <v>104</v>
      </c>
      <c r="D40" s="151"/>
      <c r="E40" s="153"/>
      <c r="F40" s="151">
        <v>170</v>
      </c>
      <c r="G40" s="153">
        <v>170</v>
      </c>
      <c r="H40" s="151"/>
      <c r="I40" s="153"/>
      <c r="J40" s="151"/>
      <c r="K40" s="153"/>
      <c r="L40" s="151"/>
      <c r="M40" s="153"/>
      <c r="N40" s="151"/>
      <c r="O40" s="153"/>
      <c r="P40" s="151"/>
      <c r="Q40" s="153"/>
      <c r="R40" s="151">
        <v>700</v>
      </c>
      <c r="S40" s="153">
        <v>650</v>
      </c>
      <c r="T40" s="151"/>
      <c r="U40" s="153"/>
      <c r="V40" s="151"/>
      <c r="W40" s="153"/>
      <c r="X40" s="151"/>
      <c r="Y40" s="153"/>
      <c r="Z40" s="61">
        <f t="shared" si="5"/>
        <v>870</v>
      </c>
      <c r="AA40" s="75">
        <f t="shared" si="6"/>
        <v>820</v>
      </c>
      <c r="AB40" s="151"/>
      <c r="AC40" s="153"/>
      <c r="AD40" s="151">
        <v>80</v>
      </c>
      <c r="AE40" s="153">
        <v>60</v>
      </c>
      <c r="AF40" s="151">
        <v>100</v>
      </c>
      <c r="AG40" s="153">
        <v>90</v>
      </c>
      <c r="AH40" s="151"/>
      <c r="AI40" s="153"/>
      <c r="AJ40" s="151"/>
      <c r="AK40" s="153"/>
      <c r="AL40" s="151"/>
      <c r="AM40" s="153"/>
      <c r="AN40" s="151"/>
      <c r="AO40" s="153"/>
      <c r="AP40" s="61">
        <f t="shared" si="7"/>
        <v>1050</v>
      </c>
      <c r="AQ40" s="75">
        <f t="shared" si="8"/>
        <v>970</v>
      </c>
      <c r="AR40" s="150" t="s">
        <v>111</v>
      </c>
    </row>
    <row r="41" spans="1:44" ht="26.25" x14ac:dyDescent="0.25">
      <c r="A41" s="4" t="s">
        <v>109</v>
      </c>
      <c r="B41" s="4" t="s">
        <v>65</v>
      </c>
      <c r="C41" s="5" t="s">
        <v>60</v>
      </c>
      <c r="D41" s="151">
        <v>117950</v>
      </c>
      <c r="E41" s="153">
        <v>140907</v>
      </c>
      <c r="F41" s="151">
        <v>170</v>
      </c>
      <c r="G41" s="153">
        <v>170</v>
      </c>
      <c r="H41" s="151"/>
      <c r="I41" s="153"/>
      <c r="J41" s="151">
        <v>140</v>
      </c>
      <c r="K41" s="153">
        <v>180</v>
      </c>
      <c r="L41" s="151">
        <v>130</v>
      </c>
      <c r="M41" s="153">
        <v>200</v>
      </c>
      <c r="N41" s="151">
        <v>4700</v>
      </c>
      <c r="O41" s="153">
        <v>4600</v>
      </c>
      <c r="P41" s="151"/>
      <c r="Q41" s="153"/>
      <c r="R41" s="151">
        <v>3400</v>
      </c>
      <c r="S41" s="153">
        <v>3100</v>
      </c>
      <c r="T41" s="151"/>
      <c r="U41" s="153"/>
      <c r="V41" s="151"/>
      <c r="W41" s="153"/>
      <c r="X41" s="151"/>
      <c r="Y41" s="153"/>
      <c r="Z41" s="61">
        <f t="shared" si="5"/>
        <v>126490</v>
      </c>
      <c r="AA41" s="75">
        <f t="shared" si="6"/>
        <v>149157</v>
      </c>
      <c r="AB41" s="151"/>
      <c r="AC41" s="153"/>
      <c r="AD41" s="151">
        <v>3050</v>
      </c>
      <c r="AE41" s="153">
        <v>2950</v>
      </c>
      <c r="AF41" s="151">
        <v>4600</v>
      </c>
      <c r="AG41" s="153">
        <v>4400</v>
      </c>
      <c r="AH41" s="151"/>
      <c r="AI41" s="153"/>
      <c r="AJ41" s="151"/>
      <c r="AK41" s="153"/>
      <c r="AL41" s="151"/>
      <c r="AM41" s="153"/>
      <c r="AN41" s="151"/>
      <c r="AO41" s="153"/>
      <c r="AP41" s="61">
        <f t="shared" si="7"/>
        <v>134140</v>
      </c>
      <c r="AQ41" s="75">
        <f t="shared" si="8"/>
        <v>156507</v>
      </c>
      <c r="AR41" s="150" t="s">
        <v>61</v>
      </c>
    </row>
    <row r="42" spans="1:44" ht="26.25" x14ac:dyDescent="0.25">
      <c r="A42" s="4" t="s">
        <v>109</v>
      </c>
      <c r="B42" s="4" t="s">
        <v>62</v>
      </c>
      <c r="C42" s="5" t="s">
        <v>60</v>
      </c>
      <c r="D42" s="151"/>
      <c r="E42" s="153"/>
      <c r="F42" s="151"/>
      <c r="G42" s="153"/>
      <c r="H42" s="151"/>
      <c r="I42" s="153"/>
      <c r="J42" s="151"/>
      <c r="K42" s="153"/>
      <c r="L42" s="151">
        <v>700</v>
      </c>
      <c r="M42" s="153">
        <v>800</v>
      </c>
      <c r="N42" s="151"/>
      <c r="O42" s="153"/>
      <c r="P42" s="151"/>
      <c r="Q42" s="153"/>
      <c r="R42" s="151">
        <v>3300</v>
      </c>
      <c r="S42" s="153">
        <v>3300</v>
      </c>
      <c r="T42" s="151"/>
      <c r="U42" s="153"/>
      <c r="V42" s="151"/>
      <c r="W42" s="153"/>
      <c r="X42" s="151"/>
      <c r="Y42" s="153"/>
      <c r="Z42" s="61">
        <f t="shared" si="5"/>
        <v>4000</v>
      </c>
      <c r="AA42" s="75">
        <f t="shared" si="6"/>
        <v>4100</v>
      </c>
      <c r="AB42" s="151"/>
      <c r="AC42" s="153"/>
      <c r="AD42" s="151">
        <v>9209</v>
      </c>
      <c r="AE42" s="153">
        <v>9487</v>
      </c>
      <c r="AF42" s="151">
        <v>5800</v>
      </c>
      <c r="AG42" s="153">
        <v>5900</v>
      </c>
      <c r="AH42" s="151"/>
      <c r="AI42" s="153"/>
      <c r="AJ42" s="151"/>
      <c r="AK42" s="153"/>
      <c r="AL42" s="151"/>
      <c r="AM42" s="153"/>
      <c r="AN42" s="151"/>
      <c r="AO42" s="153"/>
      <c r="AP42" s="61">
        <f t="shared" si="7"/>
        <v>19009</v>
      </c>
      <c r="AQ42" s="75">
        <f t="shared" si="8"/>
        <v>19487</v>
      </c>
      <c r="AR42" s="150" t="s">
        <v>63</v>
      </c>
    </row>
    <row r="43" spans="1:44" x14ac:dyDescent="0.25">
      <c r="A43" s="4" t="s">
        <v>109</v>
      </c>
      <c r="B43" s="4" t="s">
        <v>64</v>
      </c>
      <c r="C43" s="5" t="s">
        <v>60</v>
      </c>
      <c r="D43" s="151"/>
      <c r="E43" s="153"/>
      <c r="F43" s="151"/>
      <c r="G43" s="153"/>
      <c r="H43" s="151"/>
      <c r="I43" s="153"/>
      <c r="J43" s="151"/>
      <c r="K43" s="153"/>
      <c r="L43" s="151"/>
      <c r="M43" s="153"/>
      <c r="N43" s="151"/>
      <c r="O43" s="153"/>
      <c r="P43" s="151"/>
      <c r="Q43" s="153"/>
      <c r="R43" s="151"/>
      <c r="S43" s="153"/>
      <c r="T43" s="151"/>
      <c r="U43" s="153"/>
      <c r="V43" s="151"/>
      <c r="W43" s="153"/>
      <c r="X43" s="151"/>
      <c r="Y43" s="153"/>
      <c r="Z43" s="61">
        <f t="shared" si="5"/>
        <v>0</v>
      </c>
      <c r="AA43" s="75">
        <f t="shared" si="6"/>
        <v>0</v>
      </c>
      <c r="AB43" s="151"/>
      <c r="AC43" s="153"/>
      <c r="AD43" s="151">
        <v>15430</v>
      </c>
      <c r="AE43" s="153">
        <v>15026</v>
      </c>
      <c r="AF43" s="151">
        <v>15000</v>
      </c>
      <c r="AG43" s="153">
        <v>15000</v>
      </c>
      <c r="AH43" s="151"/>
      <c r="AI43" s="153"/>
      <c r="AJ43" s="151"/>
      <c r="AK43" s="153"/>
      <c r="AL43" s="151"/>
      <c r="AM43" s="153"/>
      <c r="AN43" s="151"/>
      <c r="AO43" s="153"/>
      <c r="AP43" s="61">
        <f t="shared" si="7"/>
        <v>30430</v>
      </c>
      <c r="AQ43" s="75">
        <f t="shared" si="8"/>
        <v>30026</v>
      </c>
      <c r="AR43" s="150" t="s">
        <v>63</v>
      </c>
    </row>
    <row r="44" spans="1:44" x14ac:dyDescent="0.25">
      <c r="A44" s="4" t="s">
        <v>109</v>
      </c>
      <c r="B44" s="4" t="s">
        <v>112</v>
      </c>
      <c r="C44" s="5" t="s">
        <v>67</v>
      </c>
      <c r="D44" s="151"/>
      <c r="E44" s="153"/>
      <c r="F44" s="151"/>
      <c r="G44" s="153"/>
      <c r="H44" s="151">
        <v>800</v>
      </c>
      <c r="I44" s="153">
        <v>760</v>
      </c>
      <c r="J44" s="151"/>
      <c r="K44" s="153"/>
      <c r="L44" s="151">
        <v>380</v>
      </c>
      <c r="M44" s="153">
        <v>380</v>
      </c>
      <c r="N44" s="151"/>
      <c r="O44" s="153"/>
      <c r="P44" s="151"/>
      <c r="Q44" s="153"/>
      <c r="R44" s="151"/>
      <c r="S44" s="153"/>
      <c r="T44" s="151"/>
      <c r="U44" s="153"/>
      <c r="V44" s="151"/>
      <c r="W44" s="153"/>
      <c r="X44" s="151"/>
      <c r="Y44" s="153"/>
      <c r="Z44" s="61">
        <f t="shared" si="5"/>
        <v>1180</v>
      </c>
      <c r="AA44" s="75">
        <f t="shared" si="6"/>
        <v>1140</v>
      </c>
      <c r="AB44" s="151"/>
      <c r="AC44" s="153"/>
      <c r="AD44" s="151"/>
      <c r="AE44" s="153"/>
      <c r="AF44" s="151"/>
      <c r="AG44" s="153"/>
      <c r="AH44" s="151"/>
      <c r="AI44" s="153"/>
      <c r="AJ44" s="151"/>
      <c r="AK44" s="153"/>
      <c r="AL44" s="151"/>
      <c r="AM44" s="153"/>
      <c r="AN44" s="151"/>
      <c r="AO44" s="153"/>
      <c r="AP44" s="61">
        <f t="shared" si="7"/>
        <v>1180</v>
      </c>
      <c r="AQ44" s="75">
        <f t="shared" si="8"/>
        <v>1140</v>
      </c>
      <c r="AR44" s="150" t="s">
        <v>68</v>
      </c>
    </row>
    <row r="45" spans="1:44" x14ac:dyDescent="0.25">
      <c r="A45" s="4" t="s">
        <v>109</v>
      </c>
      <c r="B45" s="4" t="s">
        <v>77</v>
      </c>
      <c r="C45" s="5" t="s">
        <v>73</v>
      </c>
      <c r="D45" s="151">
        <v>32760</v>
      </c>
      <c r="E45" s="153">
        <v>33013</v>
      </c>
      <c r="F45" s="151">
        <v>180</v>
      </c>
      <c r="G45" s="153">
        <v>180</v>
      </c>
      <c r="H45" s="151">
        <v>8400</v>
      </c>
      <c r="I45" s="153">
        <v>8000</v>
      </c>
      <c r="J45" s="151">
        <v>250</v>
      </c>
      <c r="K45" s="153">
        <v>220</v>
      </c>
      <c r="L45" s="151">
        <v>1350</v>
      </c>
      <c r="M45" s="153">
        <v>1350</v>
      </c>
      <c r="N45" s="151">
        <v>130</v>
      </c>
      <c r="O45" s="153">
        <v>130</v>
      </c>
      <c r="P45" s="151"/>
      <c r="Q45" s="153"/>
      <c r="R45" s="151">
        <v>400</v>
      </c>
      <c r="S45" s="153">
        <v>350</v>
      </c>
      <c r="T45" s="151"/>
      <c r="U45" s="153"/>
      <c r="V45" s="151"/>
      <c r="W45" s="153"/>
      <c r="X45" s="151"/>
      <c r="Y45" s="153"/>
      <c r="Z45" s="61">
        <f t="shared" si="5"/>
        <v>43470</v>
      </c>
      <c r="AA45" s="75">
        <f t="shared" si="6"/>
        <v>43243</v>
      </c>
      <c r="AB45" s="151">
        <v>80</v>
      </c>
      <c r="AC45" s="153">
        <v>70</v>
      </c>
      <c r="AD45" s="151">
        <v>7350</v>
      </c>
      <c r="AE45" s="153">
        <v>6800</v>
      </c>
      <c r="AF45" s="151">
        <v>2930</v>
      </c>
      <c r="AG45" s="153">
        <v>2900</v>
      </c>
      <c r="AH45" s="151"/>
      <c r="AI45" s="153"/>
      <c r="AJ45" s="151"/>
      <c r="AK45" s="153"/>
      <c r="AL45" s="151"/>
      <c r="AM45" s="153"/>
      <c r="AN45" s="151"/>
      <c r="AO45" s="153"/>
      <c r="AP45" s="61">
        <f t="shared" si="7"/>
        <v>53830</v>
      </c>
      <c r="AQ45" s="75">
        <f t="shared" si="8"/>
        <v>53013</v>
      </c>
      <c r="AR45" s="150" t="s">
        <v>74</v>
      </c>
    </row>
    <row r="46" spans="1:44" x14ac:dyDescent="0.25">
      <c r="A46" s="4" t="s">
        <v>109</v>
      </c>
      <c r="B46" s="4" t="s">
        <v>113</v>
      </c>
      <c r="C46" s="6" t="s">
        <v>79</v>
      </c>
      <c r="D46" s="151">
        <v>5912</v>
      </c>
      <c r="E46" s="153">
        <v>6170</v>
      </c>
      <c r="F46" s="151"/>
      <c r="G46" s="153"/>
      <c r="H46" s="151"/>
      <c r="I46" s="153"/>
      <c r="J46" s="151"/>
      <c r="K46" s="153"/>
      <c r="L46" s="151"/>
      <c r="M46" s="153"/>
      <c r="N46" s="151"/>
      <c r="O46" s="153"/>
      <c r="P46" s="151"/>
      <c r="Q46" s="153"/>
      <c r="R46" s="151"/>
      <c r="S46" s="153"/>
      <c r="T46" s="151"/>
      <c r="U46" s="153"/>
      <c r="V46" s="151"/>
      <c r="W46" s="153"/>
      <c r="X46" s="151"/>
      <c r="Y46" s="153"/>
      <c r="Z46" s="61">
        <f t="shared" si="5"/>
        <v>5912</v>
      </c>
      <c r="AA46" s="75">
        <f t="shared" si="6"/>
        <v>6170</v>
      </c>
      <c r="AB46" s="151"/>
      <c r="AC46" s="153"/>
      <c r="AD46" s="151">
        <v>250</v>
      </c>
      <c r="AE46" s="153">
        <v>230</v>
      </c>
      <c r="AF46" s="151">
        <v>400</v>
      </c>
      <c r="AG46" s="153">
        <v>380</v>
      </c>
      <c r="AH46" s="151"/>
      <c r="AI46" s="153"/>
      <c r="AJ46" s="151"/>
      <c r="AK46" s="153"/>
      <c r="AL46" s="151"/>
      <c r="AM46" s="153"/>
      <c r="AN46" s="151"/>
      <c r="AO46" s="153"/>
      <c r="AP46" s="61">
        <f t="shared" si="7"/>
        <v>6562</v>
      </c>
      <c r="AQ46" s="75">
        <f t="shared" si="8"/>
        <v>6780</v>
      </c>
      <c r="AR46" s="150" t="s">
        <v>80</v>
      </c>
    </row>
    <row r="47" spans="1:44" x14ac:dyDescent="0.25">
      <c r="A47" s="4" t="s">
        <v>109</v>
      </c>
      <c r="B47" s="4" t="s">
        <v>114</v>
      </c>
      <c r="C47" s="5" t="s">
        <v>73</v>
      </c>
      <c r="D47" s="151">
        <v>10811</v>
      </c>
      <c r="E47" s="153">
        <v>11524</v>
      </c>
      <c r="F47" s="151">
        <v>50</v>
      </c>
      <c r="G47" s="153">
        <v>50</v>
      </c>
      <c r="H47" s="151">
        <v>1100</v>
      </c>
      <c r="I47" s="153">
        <v>1000</v>
      </c>
      <c r="J47" s="151">
        <v>40</v>
      </c>
      <c r="K47" s="153">
        <v>40</v>
      </c>
      <c r="L47" s="151">
        <v>450</v>
      </c>
      <c r="M47" s="153">
        <v>430</v>
      </c>
      <c r="N47" s="151"/>
      <c r="O47" s="153"/>
      <c r="P47" s="151"/>
      <c r="Q47" s="153"/>
      <c r="R47" s="151">
        <v>80</v>
      </c>
      <c r="S47" s="153">
        <v>70</v>
      </c>
      <c r="T47" s="151"/>
      <c r="U47" s="153"/>
      <c r="V47" s="151"/>
      <c r="W47" s="153"/>
      <c r="X47" s="151"/>
      <c r="Y47" s="153"/>
      <c r="Z47" s="61">
        <f t="shared" si="5"/>
        <v>12531</v>
      </c>
      <c r="AA47" s="75">
        <f t="shared" si="6"/>
        <v>13114</v>
      </c>
      <c r="AB47" s="151"/>
      <c r="AC47" s="153"/>
      <c r="AD47" s="151">
        <v>420</v>
      </c>
      <c r="AE47" s="153">
        <v>350</v>
      </c>
      <c r="AF47" s="151">
        <v>730</v>
      </c>
      <c r="AG47" s="153">
        <v>700</v>
      </c>
      <c r="AH47" s="151">
        <v>1900</v>
      </c>
      <c r="AI47" s="153">
        <v>1600</v>
      </c>
      <c r="AJ47" s="151"/>
      <c r="AK47" s="153"/>
      <c r="AL47" s="151"/>
      <c r="AM47" s="153"/>
      <c r="AN47" s="151"/>
      <c r="AO47" s="153"/>
      <c r="AP47" s="61">
        <f t="shared" si="7"/>
        <v>15581</v>
      </c>
      <c r="AQ47" s="75">
        <f t="shared" si="8"/>
        <v>15764</v>
      </c>
      <c r="AR47" s="150" t="s">
        <v>74</v>
      </c>
    </row>
    <row r="48" spans="1:44" x14ac:dyDescent="0.25">
      <c r="A48" s="4" t="s">
        <v>109</v>
      </c>
      <c r="B48" s="4" t="s">
        <v>115</v>
      </c>
      <c r="C48" s="5" t="s">
        <v>73</v>
      </c>
      <c r="D48" s="151">
        <v>6329</v>
      </c>
      <c r="E48" s="153">
        <v>6748</v>
      </c>
      <c r="F48" s="151">
        <v>50</v>
      </c>
      <c r="G48" s="153">
        <v>50</v>
      </c>
      <c r="H48" s="151"/>
      <c r="I48" s="153"/>
      <c r="J48" s="151">
        <v>30</v>
      </c>
      <c r="K48" s="153">
        <v>20</v>
      </c>
      <c r="L48" s="151">
        <v>250</v>
      </c>
      <c r="M48" s="153">
        <v>240</v>
      </c>
      <c r="N48" s="151"/>
      <c r="O48" s="153"/>
      <c r="P48" s="151"/>
      <c r="Q48" s="153"/>
      <c r="R48" s="151">
        <v>50</v>
      </c>
      <c r="S48" s="153">
        <v>40</v>
      </c>
      <c r="T48" s="151"/>
      <c r="U48" s="153"/>
      <c r="V48" s="151"/>
      <c r="W48" s="153"/>
      <c r="X48" s="151"/>
      <c r="Y48" s="153"/>
      <c r="Z48" s="61">
        <f t="shared" si="5"/>
        <v>6709</v>
      </c>
      <c r="AA48" s="75">
        <f t="shared" si="6"/>
        <v>7098</v>
      </c>
      <c r="AB48" s="151"/>
      <c r="AC48" s="153"/>
      <c r="AD48" s="151">
        <v>250</v>
      </c>
      <c r="AE48" s="153">
        <v>200</v>
      </c>
      <c r="AF48" s="151">
        <v>570</v>
      </c>
      <c r="AG48" s="153">
        <v>530</v>
      </c>
      <c r="AH48" s="151">
        <v>950</v>
      </c>
      <c r="AI48" s="153">
        <v>816</v>
      </c>
      <c r="AJ48" s="151"/>
      <c r="AK48" s="153"/>
      <c r="AL48" s="151"/>
      <c r="AM48" s="153"/>
      <c r="AN48" s="151"/>
      <c r="AO48" s="153"/>
      <c r="AP48" s="61">
        <f t="shared" si="7"/>
        <v>8479</v>
      </c>
      <c r="AQ48" s="75">
        <f t="shared" si="8"/>
        <v>8644</v>
      </c>
      <c r="AR48" s="150" t="s">
        <v>74</v>
      </c>
    </row>
    <row r="49" spans="1:44" x14ac:dyDescent="0.25">
      <c r="A49" s="4" t="s">
        <v>109</v>
      </c>
      <c r="B49" s="4" t="s">
        <v>85</v>
      </c>
      <c r="C49" s="5" t="s">
        <v>86</v>
      </c>
      <c r="D49" s="151">
        <v>34368</v>
      </c>
      <c r="E49" s="153">
        <v>5843</v>
      </c>
      <c r="F49" s="151">
        <v>640</v>
      </c>
      <c r="G49" s="153">
        <v>640</v>
      </c>
      <c r="H49" s="151">
        <v>37000</v>
      </c>
      <c r="I49" s="153">
        <v>35000</v>
      </c>
      <c r="J49" s="151">
        <v>4600</v>
      </c>
      <c r="K49" s="153">
        <v>4400</v>
      </c>
      <c r="L49" s="151">
        <v>7200</v>
      </c>
      <c r="M49" s="153">
        <v>7000</v>
      </c>
      <c r="N49" s="151">
        <v>550</v>
      </c>
      <c r="O49" s="153">
        <v>530</v>
      </c>
      <c r="P49" s="151"/>
      <c r="Q49" s="153"/>
      <c r="R49" s="151">
        <v>750</v>
      </c>
      <c r="S49" s="153">
        <v>750</v>
      </c>
      <c r="T49" s="151">
        <v>3681</v>
      </c>
      <c r="U49" s="153">
        <v>3681</v>
      </c>
      <c r="V49" s="151"/>
      <c r="W49" s="153"/>
      <c r="X49" s="151"/>
      <c r="Y49" s="153"/>
      <c r="Z49" s="61">
        <f t="shared" si="5"/>
        <v>88789</v>
      </c>
      <c r="AA49" s="75">
        <f t="shared" si="6"/>
        <v>57844</v>
      </c>
      <c r="AB49" s="151">
        <v>100</v>
      </c>
      <c r="AC49" s="153">
        <v>100</v>
      </c>
      <c r="AD49" s="151">
        <v>7690</v>
      </c>
      <c r="AE49" s="153">
        <v>7550</v>
      </c>
      <c r="AF49" s="151">
        <v>9000</v>
      </c>
      <c r="AG49" s="153">
        <v>8300</v>
      </c>
      <c r="AH49" s="151"/>
      <c r="AI49" s="153"/>
      <c r="AJ49" s="151"/>
      <c r="AK49" s="153"/>
      <c r="AL49" s="151"/>
      <c r="AM49" s="153"/>
      <c r="AN49" s="151"/>
      <c r="AO49" s="153"/>
      <c r="AP49" s="61">
        <f t="shared" si="7"/>
        <v>105579</v>
      </c>
      <c r="AQ49" s="75">
        <f t="shared" si="8"/>
        <v>73794</v>
      </c>
      <c r="AR49" s="150" t="s">
        <v>80</v>
      </c>
    </row>
    <row r="50" spans="1:44" x14ac:dyDescent="0.25">
      <c r="A50" s="66" t="s">
        <v>109</v>
      </c>
      <c r="B50" s="66" t="s">
        <v>116</v>
      </c>
      <c r="C50" s="6" t="s">
        <v>96</v>
      </c>
      <c r="D50" s="151"/>
      <c r="E50" s="153">
        <v>45486</v>
      </c>
      <c r="F50" s="151"/>
      <c r="G50" s="153"/>
      <c r="H50" s="151"/>
      <c r="I50" s="153"/>
      <c r="J50" s="151"/>
      <c r="K50" s="153"/>
      <c r="L50" s="151"/>
      <c r="M50" s="153"/>
      <c r="N50" s="151"/>
      <c r="O50" s="153"/>
      <c r="P50" s="151"/>
      <c r="Q50" s="153"/>
      <c r="R50" s="151"/>
      <c r="S50" s="153"/>
      <c r="T50" s="151"/>
      <c r="U50" s="153"/>
      <c r="V50" s="151"/>
      <c r="W50" s="153"/>
      <c r="X50" s="151"/>
      <c r="Y50" s="153"/>
      <c r="Z50" s="61">
        <f t="shared" si="5"/>
        <v>0</v>
      </c>
      <c r="AA50" s="75">
        <f t="shared" si="6"/>
        <v>45486</v>
      </c>
      <c r="AB50" s="151"/>
      <c r="AC50" s="153"/>
      <c r="AD50" s="151"/>
      <c r="AE50" s="153"/>
      <c r="AF50" s="151"/>
      <c r="AG50" s="153"/>
      <c r="AH50" s="151"/>
      <c r="AI50" s="153"/>
      <c r="AJ50" s="151"/>
      <c r="AK50" s="153"/>
      <c r="AL50" s="151"/>
      <c r="AM50" s="153"/>
      <c r="AN50" s="151"/>
      <c r="AO50" s="153"/>
      <c r="AP50" s="61">
        <f t="shared" si="7"/>
        <v>0</v>
      </c>
      <c r="AQ50" s="75">
        <f t="shared" si="8"/>
        <v>45486</v>
      </c>
      <c r="AR50" s="150"/>
    </row>
    <row r="51" spans="1:44" ht="26.25" x14ac:dyDescent="0.25">
      <c r="A51" s="4" t="s">
        <v>109</v>
      </c>
      <c r="B51" s="4" t="s">
        <v>88</v>
      </c>
      <c r="C51" s="5" t="s">
        <v>86</v>
      </c>
      <c r="D51" s="151"/>
      <c r="E51" s="153"/>
      <c r="F51" s="151"/>
      <c r="G51" s="153"/>
      <c r="H51" s="151"/>
      <c r="I51" s="153"/>
      <c r="J51" s="151"/>
      <c r="K51" s="153"/>
      <c r="L51" s="151"/>
      <c r="M51" s="153"/>
      <c r="N51" s="151"/>
      <c r="O51" s="153"/>
      <c r="P51" s="151"/>
      <c r="Q51" s="153"/>
      <c r="R51" s="151"/>
      <c r="S51" s="153"/>
      <c r="T51" s="151">
        <v>2522</v>
      </c>
      <c r="U51" s="153">
        <v>2522</v>
      </c>
      <c r="V51" s="151"/>
      <c r="W51" s="153"/>
      <c r="X51" s="151"/>
      <c r="Y51" s="153"/>
      <c r="Z51" s="61">
        <f t="shared" si="5"/>
        <v>2522</v>
      </c>
      <c r="AA51" s="75">
        <f t="shared" si="6"/>
        <v>2522</v>
      </c>
      <c r="AB51" s="151"/>
      <c r="AC51" s="153"/>
      <c r="AD51" s="151"/>
      <c r="AE51" s="153"/>
      <c r="AF51" s="151"/>
      <c r="AG51" s="153"/>
      <c r="AH51" s="151"/>
      <c r="AI51" s="153"/>
      <c r="AJ51" s="151"/>
      <c r="AK51" s="153"/>
      <c r="AL51" s="151"/>
      <c r="AM51" s="153"/>
      <c r="AN51" s="151"/>
      <c r="AO51" s="153"/>
      <c r="AP51" s="61">
        <f t="shared" si="7"/>
        <v>2522</v>
      </c>
      <c r="AQ51" s="75">
        <f t="shared" si="8"/>
        <v>2522</v>
      </c>
      <c r="AR51" s="150" t="s">
        <v>80</v>
      </c>
    </row>
    <row r="52" spans="1:44" ht="26.25" x14ac:dyDescent="0.25">
      <c r="A52" s="4" t="s">
        <v>109</v>
      </c>
      <c r="B52" s="4" t="s">
        <v>89</v>
      </c>
      <c r="C52" s="5" t="s">
        <v>86</v>
      </c>
      <c r="D52" s="151"/>
      <c r="E52" s="153"/>
      <c r="F52" s="151"/>
      <c r="G52" s="153"/>
      <c r="H52" s="151"/>
      <c r="I52" s="153"/>
      <c r="J52" s="151"/>
      <c r="K52" s="153"/>
      <c r="L52" s="151"/>
      <c r="M52" s="153"/>
      <c r="N52" s="151"/>
      <c r="O52" s="153"/>
      <c r="P52" s="151"/>
      <c r="Q52" s="153"/>
      <c r="R52" s="151"/>
      <c r="S52" s="153"/>
      <c r="T52" s="151">
        <v>2522</v>
      </c>
      <c r="U52" s="153">
        <v>2522</v>
      </c>
      <c r="V52" s="151"/>
      <c r="W52" s="153"/>
      <c r="X52" s="151"/>
      <c r="Y52" s="153"/>
      <c r="Z52" s="61">
        <f t="shared" si="5"/>
        <v>2522</v>
      </c>
      <c r="AA52" s="75">
        <f t="shared" si="6"/>
        <v>2522</v>
      </c>
      <c r="AB52" s="151"/>
      <c r="AC52" s="153"/>
      <c r="AD52" s="151"/>
      <c r="AE52" s="153"/>
      <c r="AF52" s="151"/>
      <c r="AG52" s="153"/>
      <c r="AH52" s="151"/>
      <c r="AI52" s="153"/>
      <c r="AJ52" s="151"/>
      <c r="AK52" s="153"/>
      <c r="AL52" s="151"/>
      <c r="AM52" s="153"/>
      <c r="AN52" s="151"/>
      <c r="AO52" s="153"/>
      <c r="AP52" s="61">
        <f t="shared" si="7"/>
        <v>2522</v>
      </c>
      <c r="AQ52" s="75">
        <f t="shared" si="8"/>
        <v>2522</v>
      </c>
      <c r="AR52" s="150" t="s">
        <v>80</v>
      </c>
    </row>
    <row r="53" spans="1:44" ht="26.25" x14ac:dyDescent="0.25">
      <c r="A53" s="4" t="s">
        <v>109</v>
      </c>
      <c r="B53" s="4" t="s">
        <v>87</v>
      </c>
      <c r="C53" s="5" t="s">
        <v>86</v>
      </c>
      <c r="D53" s="151">
        <v>1320</v>
      </c>
      <c r="E53" s="153">
        <v>5092</v>
      </c>
      <c r="F53" s="151"/>
      <c r="G53" s="153"/>
      <c r="H53" s="151"/>
      <c r="I53" s="153"/>
      <c r="J53" s="151"/>
      <c r="K53" s="153"/>
      <c r="L53" s="151"/>
      <c r="M53" s="153"/>
      <c r="N53" s="151"/>
      <c r="O53" s="153"/>
      <c r="P53" s="151"/>
      <c r="Q53" s="153"/>
      <c r="R53" s="151"/>
      <c r="S53" s="153"/>
      <c r="T53" s="151"/>
      <c r="U53" s="153"/>
      <c r="V53" s="151"/>
      <c r="W53" s="153"/>
      <c r="X53" s="151"/>
      <c r="Y53" s="153"/>
      <c r="Z53" s="61">
        <f t="shared" si="5"/>
        <v>1320</v>
      </c>
      <c r="AA53" s="75">
        <f t="shared" si="6"/>
        <v>5092</v>
      </c>
      <c r="AB53" s="151"/>
      <c r="AC53" s="153"/>
      <c r="AD53" s="151"/>
      <c r="AE53" s="153"/>
      <c r="AF53" s="151"/>
      <c r="AG53" s="153"/>
      <c r="AH53" s="151"/>
      <c r="AI53" s="153"/>
      <c r="AJ53" s="151"/>
      <c r="AK53" s="153"/>
      <c r="AL53" s="151"/>
      <c r="AM53" s="153"/>
      <c r="AN53" s="151"/>
      <c r="AO53" s="153"/>
      <c r="AP53" s="61">
        <f t="shared" si="7"/>
        <v>1320</v>
      </c>
      <c r="AQ53" s="75">
        <f t="shared" si="8"/>
        <v>5092</v>
      </c>
      <c r="AR53" s="150" t="s">
        <v>80</v>
      </c>
    </row>
    <row r="54" spans="1:44" x14ac:dyDescent="0.25">
      <c r="A54" s="4" t="s">
        <v>109</v>
      </c>
      <c r="B54" s="4" t="s">
        <v>90</v>
      </c>
      <c r="C54" s="5" t="s">
        <v>86</v>
      </c>
      <c r="D54" s="151"/>
      <c r="E54" s="153"/>
      <c r="F54" s="151"/>
      <c r="G54" s="153"/>
      <c r="H54" s="151"/>
      <c r="I54" s="153"/>
      <c r="J54" s="151"/>
      <c r="K54" s="153"/>
      <c r="L54" s="151"/>
      <c r="M54" s="153"/>
      <c r="N54" s="151"/>
      <c r="O54" s="153"/>
      <c r="P54" s="151"/>
      <c r="Q54" s="153"/>
      <c r="R54" s="151"/>
      <c r="S54" s="153"/>
      <c r="T54" s="151">
        <v>2500</v>
      </c>
      <c r="U54" s="153">
        <v>2500</v>
      </c>
      <c r="V54" s="151"/>
      <c r="W54" s="153"/>
      <c r="X54" s="151"/>
      <c r="Y54" s="153"/>
      <c r="Z54" s="61">
        <f t="shared" si="5"/>
        <v>2500</v>
      </c>
      <c r="AA54" s="75">
        <f t="shared" si="6"/>
        <v>2500</v>
      </c>
      <c r="AB54" s="151"/>
      <c r="AC54" s="153"/>
      <c r="AD54" s="151"/>
      <c r="AE54" s="153"/>
      <c r="AF54" s="151"/>
      <c r="AG54" s="153"/>
      <c r="AH54" s="151"/>
      <c r="AI54" s="153"/>
      <c r="AJ54" s="151"/>
      <c r="AK54" s="153"/>
      <c r="AL54" s="151"/>
      <c r="AM54" s="153"/>
      <c r="AN54" s="151"/>
      <c r="AO54" s="153"/>
      <c r="AP54" s="61">
        <f t="shared" si="7"/>
        <v>2500</v>
      </c>
      <c r="AQ54" s="75">
        <f t="shared" si="8"/>
        <v>2500</v>
      </c>
      <c r="AR54" s="150" t="s">
        <v>80</v>
      </c>
    </row>
    <row r="55" spans="1:44" x14ac:dyDescent="0.25">
      <c r="A55" s="4" t="s">
        <v>109</v>
      </c>
      <c r="B55" s="4" t="s">
        <v>117</v>
      </c>
      <c r="C55" s="5" t="s">
        <v>82</v>
      </c>
      <c r="D55" s="151">
        <v>33877</v>
      </c>
      <c r="E55" s="153">
        <v>40918</v>
      </c>
      <c r="F55" s="151">
        <v>480</v>
      </c>
      <c r="G55" s="153">
        <v>480</v>
      </c>
      <c r="H55" s="151">
        <v>3700</v>
      </c>
      <c r="I55" s="153">
        <v>3300</v>
      </c>
      <c r="J55" s="151">
        <v>900</v>
      </c>
      <c r="K55" s="153">
        <v>900</v>
      </c>
      <c r="L55" s="151">
        <v>2800</v>
      </c>
      <c r="M55" s="153">
        <v>2600</v>
      </c>
      <c r="N55" s="151">
        <v>350</v>
      </c>
      <c r="O55" s="153">
        <v>340</v>
      </c>
      <c r="P55" s="151"/>
      <c r="Q55" s="153"/>
      <c r="R55" s="151">
        <v>100</v>
      </c>
      <c r="S55" s="153">
        <v>80</v>
      </c>
      <c r="T55" s="151">
        <v>9567</v>
      </c>
      <c r="U55" s="153">
        <v>9258</v>
      </c>
      <c r="V55" s="151"/>
      <c r="W55" s="153"/>
      <c r="X55" s="151"/>
      <c r="Y55" s="153"/>
      <c r="Z55" s="61">
        <f t="shared" si="5"/>
        <v>51774</v>
      </c>
      <c r="AA55" s="75">
        <f t="shared" si="6"/>
        <v>57876</v>
      </c>
      <c r="AB55" s="151">
        <v>50</v>
      </c>
      <c r="AC55" s="153"/>
      <c r="AD55" s="151">
        <v>1350</v>
      </c>
      <c r="AE55" s="153">
        <v>1200</v>
      </c>
      <c r="AF55" s="151">
        <v>2150</v>
      </c>
      <c r="AG55" s="153">
        <v>2050</v>
      </c>
      <c r="AH55" s="151"/>
      <c r="AI55" s="153"/>
      <c r="AJ55" s="151"/>
      <c r="AK55" s="153"/>
      <c r="AL55" s="151"/>
      <c r="AM55" s="153"/>
      <c r="AN55" s="151"/>
      <c r="AO55" s="153"/>
      <c r="AP55" s="61">
        <f t="shared" si="7"/>
        <v>55324</v>
      </c>
      <c r="AQ55" s="75">
        <f t="shared" si="8"/>
        <v>61126</v>
      </c>
      <c r="AR55" s="150" t="s">
        <v>80</v>
      </c>
    </row>
    <row r="56" spans="1:44" ht="26.25" x14ac:dyDescent="0.25">
      <c r="A56" s="4" t="s">
        <v>109</v>
      </c>
      <c r="B56" s="4" t="s">
        <v>83</v>
      </c>
      <c r="C56" s="5" t="s">
        <v>82</v>
      </c>
      <c r="D56" s="151">
        <v>27593</v>
      </c>
      <c r="E56" s="153">
        <v>29859</v>
      </c>
      <c r="F56" s="151"/>
      <c r="G56" s="153"/>
      <c r="H56" s="151"/>
      <c r="I56" s="153"/>
      <c r="J56" s="151"/>
      <c r="K56" s="153"/>
      <c r="L56" s="151"/>
      <c r="M56" s="153"/>
      <c r="N56" s="151"/>
      <c r="O56" s="153"/>
      <c r="P56" s="151"/>
      <c r="Q56" s="153"/>
      <c r="R56" s="151"/>
      <c r="S56" s="153"/>
      <c r="T56" s="151"/>
      <c r="U56" s="153"/>
      <c r="V56" s="151"/>
      <c r="W56" s="153"/>
      <c r="X56" s="151"/>
      <c r="Y56" s="153"/>
      <c r="Z56" s="61">
        <f t="shared" si="5"/>
        <v>27593</v>
      </c>
      <c r="AA56" s="75">
        <f t="shared" si="6"/>
        <v>29859</v>
      </c>
      <c r="AB56" s="151"/>
      <c r="AC56" s="153"/>
      <c r="AD56" s="151"/>
      <c r="AE56" s="153"/>
      <c r="AF56" s="151"/>
      <c r="AG56" s="153"/>
      <c r="AH56" s="151"/>
      <c r="AI56" s="153"/>
      <c r="AJ56" s="151"/>
      <c r="AK56" s="153"/>
      <c r="AL56" s="151"/>
      <c r="AM56" s="153"/>
      <c r="AN56" s="151"/>
      <c r="AO56" s="153"/>
      <c r="AP56" s="61">
        <f t="shared" si="7"/>
        <v>27593</v>
      </c>
      <c r="AQ56" s="75">
        <f t="shared" si="8"/>
        <v>29859</v>
      </c>
      <c r="AR56" s="150" t="s">
        <v>80</v>
      </c>
    </row>
    <row r="57" spans="1:44" ht="30" x14ac:dyDescent="0.25">
      <c r="A57" s="4" t="s">
        <v>109</v>
      </c>
      <c r="B57" s="4" t="s">
        <v>118</v>
      </c>
      <c r="C57" s="5" t="s">
        <v>119</v>
      </c>
      <c r="D57" s="151">
        <v>149221</v>
      </c>
      <c r="E57" s="153">
        <v>181751</v>
      </c>
      <c r="F57" s="151">
        <v>650</v>
      </c>
      <c r="G57" s="153">
        <v>660</v>
      </c>
      <c r="H57" s="151">
        <v>7800</v>
      </c>
      <c r="I57" s="153">
        <v>5000</v>
      </c>
      <c r="J57" s="151">
        <v>3100</v>
      </c>
      <c r="K57" s="153">
        <v>3100</v>
      </c>
      <c r="L57" s="151">
        <v>9000</v>
      </c>
      <c r="M57" s="153">
        <v>9500</v>
      </c>
      <c r="N57" s="151">
        <v>1512</v>
      </c>
      <c r="O57" s="153">
        <v>1512</v>
      </c>
      <c r="P57" s="151"/>
      <c r="Q57" s="153"/>
      <c r="R57" s="151">
        <v>700</v>
      </c>
      <c r="S57" s="153">
        <v>700</v>
      </c>
      <c r="T57" s="151">
        <v>38348</v>
      </c>
      <c r="U57" s="153">
        <v>39660</v>
      </c>
      <c r="V57" s="151"/>
      <c r="W57" s="153"/>
      <c r="X57" s="151"/>
      <c r="Y57" s="153"/>
      <c r="Z57" s="61">
        <f t="shared" si="5"/>
        <v>210331</v>
      </c>
      <c r="AA57" s="75">
        <f t="shared" si="6"/>
        <v>241883</v>
      </c>
      <c r="AB57" s="151">
        <v>150</v>
      </c>
      <c r="AC57" s="153"/>
      <c r="AD57" s="151">
        <v>4980</v>
      </c>
      <c r="AE57" s="153">
        <v>5420</v>
      </c>
      <c r="AF57" s="151">
        <v>17400</v>
      </c>
      <c r="AG57" s="153">
        <v>18200</v>
      </c>
      <c r="AH57" s="151"/>
      <c r="AI57" s="153"/>
      <c r="AJ57" s="151"/>
      <c r="AK57" s="153"/>
      <c r="AL57" s="151"/>
      <c r="AM57" s="153"/>
      <c r="AN57" s="151"/>
      <c r="AO57" s="153"/>
      <c r="AP57" s="61">
        <f t="shared" si="7"/>
        <v>232861</v>
      </c>
      <c r="AQ57" s="75">
        <f t="shared" si="8"/>
        <v>265503</v>
      </c>
      <c r="AR57" s="150" t="s">
        <v>102</v>
      </c>
    </row>
    <row r="58" spans="1:44" ht="39" x14ac:dyDescent="0.25">
      <c r="A58" s="4" t="s">
        <v>109</v>
      </c>
      <c r="B58" s="4" t="s">
        <v>120</v>
      </c>
      <c r="C58" s="5" t="s">
        <v>119</v>
      </c>
      <c r="D58" s="151">
        <v>9393</v>
      </c>
      <c r="E58" s="153">
        <v>9393</v>
      </c>
      <c r="F58" s="151"/>
      <c r="G58" s="153"/>
      <c r="H58" s="151"/>
      <c r="I58" s="153"/>
      <c r="J58" s="151"/>
      <c r="K58" s="153"/>
      <c r="L58" s="151"/>
      <c r="M58" s="153"/>
      <c r="N58" s="151"/>
      <c r="O58" s="153"/>
      <c r="P58" s="151"/>
      <c r="Q58" s="153"/>
      <c r="R58" s="151"/>
      <c r="S58" s="153"/>
      <c r="T58" s="151"/>
      <c r="U58" s="153"/>
      <c r="V58" s="151"/>
      <c r="W58" s="153"/>
      <c r="X58" s="151"/>
      <c r="Y58" s="153"/>
      <c r="Z58" s="61">
        <f t="shared" si="5"/>
        <v>9393</v>
      </c>
      <c r="AA58" s="75">
        <f t="shared" si="6"/>
        <v>9393</v>
      </c>
      <c r="AB58" s="151"/>
      <c r="AC58" s="153"/>
      <c r="AD58" s="151"/>
      <c r="AE58" s="153"/>
      <c r="AF58" s="151"/>
      <c r="AG58" s="153"/>
      <c r="AH58" s="151"/>
      <c r="AI58" s="153"/>
      <c r="AJ58" s="151"/>
      <c r="AK58" s="153"/>
      <c r="AL58" s="151"/>
      <c r="AM58" s="153"/>
      <c r="AN58" s="151"/>
      <c r="AO58" s="153"/>
      <c r="AP58" s="61">
        <f t="shared" si="7"/>
        <v>9393</v>
      </c>
      <c r="AQ58" s="75">
        <f t="shared" si="8"/>
        <v>9393</v>
      </c>
      <c r="AR58" s="150" t="s">
        <v>102</v>
      </c>
    </row>
    <row r="59" spans="1:44" ht="30" x14ac:dyDescent="0.25">
      <c r="A59" s="4" t="s">
        <v>109</v>
      </c>
      <c r="B59" s="4" t="s">
        <v>121</v>
      </c>
      <c r="C59" s="5" t="s">
        <v>119</v>
      </c>
      <c r="D59" s="151">
        <v>4580</v>
      </c>
      <c r="E59" s="153">
        <v>4580</v>
      </c>
      <c r="F59" s="151"/>
      <c r="G59" s="153"/>
      <c r="H59" s="151"/>
      <c r="I59" s="153"/>
      <c r="J59" s="151"/>
      <c r="K59" s="153"/>
      <c r="L59" s="151"/>
      <c r="M59" s="153"/>
      <c r="N59" s="151"/>
      <c r="O59" s="153"/>
      <c r="P59" s="151"/>
      <c r="Q59" s="153"/>
      <c r="R59" s="151"/>
      <c r="S59" s="153"/>
      <c r="T59" s="151"/>
      <c r="U59" s="153"/>
      <c r="V59" s="151"/>
      <c r="W59" s="153"/>
      <c r="X59" s="151"/>
      <c r="Y59" s="153"/>
      <c r="Z59" s="61">
        <f t="shared" si="5"/>
        <v>4580</v>
      </c>
      <c r="AA59" s="75">
        <f t="shared" si="6"/>
        <v>4580</v>
      </c>
      <c r="AB59" s="151"/>
      <c r="AC59" s="153"/>
      <c r="AD59" s="151"/>
      <c r="AE59" s="153"/>
      <c r="AF59" s="151"/>
      <c r="AG59" s="153"/>
      <c r="AH59" s="151"/>
      <c r="AI59" s="153"/>
      <c r="AJ59" s="151"/>
      <c r="AK59" s="153"/>
      <c r="AL59" s="151"/>
      <c r="AM59" s="153"/>
      <c r="AN59" s="151"/>
      <c r="AO59" s="153"/>
      <c r="AP59" s="61">
        <f t="shared" si="7"/>
        <v>4580</v>
      </c>
      <c r="AQ59" s="75">
        <f t="shared" si="8"/>
        <v>4580</v>
      </c>
      <c r="AR59" s="150" t="s">
        <v>102</v>
      </c>
    </row>
    <row r="60" spans="1:44" ht="30" x14ac:dyDescent="0.25">
      <c r="A60" s="4" t="s">
        <v>109</v>
      </c>
      <c r="B60" s="4" t="s">
        <v>122</v>
      </c>
      <c r="C60" s="5" t="s">
        <v>119</v>
      </c>
      <c r="D60" s="151"/>
      <c r="E60" s="153"/>
      <c r="F60" s="151"/>
      <c r="G60" s="153"/>
      <c r="H60" s="151"/>
      <c r="I60" s="153"/>
      <c r="J60" s="151"/>
      <c r="K60" s="153"/>
      <c r="L60" s="151"/>
      <c r="M60" s="153"/>
      <c r="N60" s="151"/>
      <c r="O60" s="153"/>
      <c r="P60" s="151"/>
      <c r="Q60" s="153"/>
      <c r="R60" s="151"/>
      <c r="S60" s="153"/>
      <c r="T60" s="151"/>
      <c r="U60" s="153"/>
      <c r="V60" s="151"/>
      <c r="W60" s="153"/>
      <c r="X60" s="151"/>
      <c r="Y60" s="153"/>
      <c r="Z60" s="61">
        <f t="shared" si="5"/>
        <v>0</v>
      </c>
      <c r="AA60" s="75">
        <f t="shared" si="6"/>
        <v>0</v>
      </c>
      <c r="AB60" s="151"/>
      <c r="AC60" s="153"/>
      <c r="AD60" s="151">
        <v>2300</v>
      </c>
      <c r="AE60" s="153"/>
      <c r="AF60" s="151"/>
      <c r="AG60" s="153"/>
      <c r="AH60" s="151"/>
      <c r="AI60" s="153"/>
      <c r="AJ60" s="151"/>
      <c r="AK60" s="153"/>
      <c r="AL60" s="151"/>
      <c r="AM60" s="153"/>
      <c r="AN60" s="151"/>
      <c r="AO60" s="153"/>
      <c r="AP60" s="61">
        <f t="shared" si="7"/>
        <v>2300</v>
      </c>
      <c r="AQ60" s="75">
        <f t="shared" si="8"/>
        <v>0</v>
      </c>
      <c r="AR60" s="150" t="s">
        <v>102</v>
      </c>
    </row>
    <row r="61" spans="1:44" x14ac:dyDescent="0.25">
      <c r="A61" s="4" t="s">
        <v>109</v>
      </c>
      <c r="B61" s="4" t="s">
        <v>69</v>
      </c>
      <c r="C61" s="5" t="s">
        <v>70</v>
      </c>
      <c r="D61" s="151">
        <v>6716</v>
      </c>
      <c r="E61" s="153">
        <v>7267</v>
      </c>
      <c r="F61" s="151"/>
      <c r="G61" s="153"/>
      <c r="H61" s="151"/>
      <c r="I61" s="153"/>
      <c r="J61" s="151"/>
      <c r="K61" s="153"/>
      <c r="L61" s="151"/>
      <c r="M61" s="153"/>
      <c r="N61" s="151"/>
      <c r="O61" s="153"/>
      <c r="P61" s="151"/>
      <c r="Q61" s="153"/>
      <c r="R61" s="151">
        <v>100</v>
      </c>
      <c r="S61" s="153">
        <v>100</v>
      </c>
      <c r="T61" s="151"/>
      <c r="U61" s="153"/>
      <c r="V61" s="151"/>
      <c r="W61" s="153"/>
      <c r="X61" s="151"/>
      <c r="Y61" s="153"/>
      <c r="Z61" s="61">
        <f t="shared" si="5"/>
        <v>6816</v>
      </c>
      <c r="AA61" s="75">
        <f t="shared" si="6"/>
        <v>7367</v>
      </c>
      <c r="AB61" s="151"/>
      <c r="AC61" s="153"/>
      <c r="AD61" s="151">
        <v>200</v>
      </c>
      <c r="AE61" s="153">
        <v>200</v>
      </c>
      <c r="AF61" s="151">
        <v>1900</v>
      </c>
      <c r="AG61" s="153">
        <v>1800</v>
      </c>
      <c r="AH61" s="151"/>
      <c r="AI61" s="153"/>
      <c r="AJ61" s="151"/>
      <c r="AK61" s="153"/>
      <c r="AL61" s="151"/>
      <c r="AM61" s="153"/>
      <c r="AN61" s="151"/>
      <c r="AO61" s="153"/>
      <c r="AP61" s="61">
        <f t="shared" si="7"/>
        <v>8916</v>
      </c>
      <c r="AQ61" s="75">
        <f t="shared" si="8"/>
        <v>9367</v>
      </c>
      <c r="AR61" s="150" t="s">
        <v>71</v>
      </c>
    </row>
    <row r="62" spans="1:44" x14ac:dyDescent="0.25">
      <c r="A62" s="4" t="s">
        <v>109</v>
      </c>
      <c r="B62" s="4" t="s">
        <v>97</v>
      </c>
      <c r="C62" s="5" t="s">
        <v>96</v>
      </c>
      <c r="D62" s="151"/>
      <c r="E62" s="153"/>
      <c r="F62" s="151"/>
      <c r="G62" s="153"/>
      <c r="H62" s="151"/>
      <c r="I62" s="153"/>
      <c r="J62" s="151"/>
      <c r="K62" s="153"/>
      <c r="L62" s="151"/>
      <c r="M62" s="153"/>
      <c r="N62" s="151"/>
      <c r="O62" s="153"/>
      <c r="P62" s="151"/>
      <c r="Q62" s="153"/>
      <c r="R62" s="151"/>
      <c r="S62" s="153"/>
      <c r="T62" s="151"/>
      <c r="U62" s="153"/>
      <c r="V62" s="151">
        <f>6200</f>
        <v>6200</v>
      </c>
      <c r="W62" s="153">
        <v>5900</v>
      </c>
      <c r="X62" s="151"/>
      <c r="Y62" s="153"/>
      <c r="Z62" s="61">
        <f t="shared" si="5"/>
        <v>6200</v>
      </c>
      <c r="AA62" s="75">
        <f t="shared" si="6"/>
        <v>5900</v>
      </c>
      <c r="AB62" s="151"/>
      <c r="AC62" s="153"/>
      <c r="AD62" s="151"/>
      <c r="AE62" s="153"/>
      <c r="AF62" s="151"/>
      <c r="AG62" s="153"/>
      <c r="AH62" s="151"/>
      <c r="AI62" s="153"/>
      <c r="AJ62" s="151"/>
      <c r="AK62" s="153"/>
      <c r="AL62" s="151"/>
      <c r="AM62" s="153"/>
      <c r="AN62" s="151"/>
      <c r="AO62" s="153"/>
      <c r="AP62" s="61">
        <f t="shared" si="7"/>
        <v>6200</v>
      </c>
      <c r="AQ62" s="75">
        <f t="shared" si="8"/>
        <v>5900</v>
      </c>
      <c r="AR62" s="150" t="s">
        <v>80</v>
      </c>
    </row>
    <row r="63" spans="1:44" ht="26.25" x14ac:dyDescent="0.25">
      <c r="A63" s="4" t="s">
        <v>109</v>
      </c>
      <c r="B63" s="4" t="s">
        <v>95</v>
      </c>
      <c r="C63" s="5" t="s">
        <v>96</v>
      </c>
      <c r="D63" s="151"/>
      <c r="E63" s="153"/>
      <c r="F63" s="151"/>
      <c r="G63" s="153"/>
      <c r="H63" s="151"/>
      <c r="I63" s="153"/>
      <c r="J63" s="151"/>
      <c r="K63" s="153"/>
      <c r="L63" s="151"/>
      <c r="M63" s="153"/>
      <c r="N63" s="151"/>
      <c r="O63" s="153"/>
      <c r="P63" s="151"/>
      <c r="Q63" s="153"/>
      <c r="R63" s="151"/>
      <c r="S63" s="153"/>
      <c r="T63" s="151"/>
      <c r="U63" s="153"/>
      <c r="V63" s="151">
        <v>8200</v>
      </c>
      <c r="W63" s="153">
        <v>7000</v>
      </c>
      <c r="X63" s="151"/>
      <c r="Y63" s="153"/>
      <c r="Z63" s="61">
        <f t="shared" ref="Z63:Z64" si="9">D63+F63+H63+J63+L63+P63+R63+T63+V63+X63+N63</f>
        <v>8200</v>
      </c>
      <c r="AA63" s="75">
        <f t="shared" ref="AA63:AA64" si="10">E63+G63+I63+K63+M63+Q63+S63+U63+W63+Y63+O63</f>
        <v>7000</v>
      </c>
      <c r="AB63" s="151"/>
      <c r="AC63" s="153"/>
      <c r="AD63" s="151"/>
      <c r="AE63" s="153"/>
      <c r="AF63" s="151"/>
      <c r="AG63" s="153"/>
      <c r="AH63" s="151"/>
      <c r="AI63" s="153"/>
      <c r="AJ63" s="151"/>
      <c r="AK63" s="153"/>
      <c r="AL63" s="151"/>
      <c r="AM63" s="153"/>
      <c r="AN63" s="151"/>
      <c r="AO63" s="153"/>
      <c r="AP63" s="61">
        <f t="shared" ref="AP63" si="11">Z63+AB63+AD63+AF63+AH63+AJ63+AL63+AN63</f>
        <v>8200</v>
      </c>
      <c r="AQ63" s="75">
        <f t="shared" ref="AQ63" si="12">AA63+AC63+AE63+AG63+AI63+AK63+AM63+AO63</f>
        <v>7000</v>
      </c>
      <c r="AR63" s="150" t="s">
        <v>80</v>
      </c>
    </row>
    <row r="64" spans="1:44" x14ac:dyDescent="0.25">
      <c r="A64" s="4" t="s">
        <v>109</v>
      </c>
      <c r="B64" s="4" t="s">
        <v>91</v>
      </c>
      <c r="C64" s="5" t="s">
        <v>86</v>
      </c>
      <c r="D64" s="151">
        <v>103184</v>
      </c>
      <c r="E64" s="153">
        <v>113320</v>
      </c>
      <c r="F64" s="151"/>
      <c r="G64" s="153"/>
      <c r="H64" s="151"/>
      <c r="I64" s="153"/>
      <c r="J64" s="151"/>
      <c r="K64" s="153"/>
      <c r="L64" s="151"/>
      <c r="M64" s="153"/>
      <c r="N64" s="151"/>
      <c r="O64" s="153"/>
      <c r="P64" s="151"/>
      <c r="Q64" s="153"/>
      <c r="R64" s="151"/>
      <c r="S64" s="153"/>
      <c r="T64" s="151"/>
      <c r="U64" s="153"/>
      <c r="V64" s="151"/>
      <c r="W64" s="153"/>
      <c r="X64" s="151"/>
      <c r="Y64" s="153"/>
      <c r="Z64" s="61">
        <f t="shared" si="9"/>
        <v>103184</v>
      </c>
      <c r="AA64" s="75">
        <f t="shared" si="10"/>
        <v>113320</v>
      </c>
      <c r="AB64" s="151"/>
      <c r="AC64" s="153"/>
      <c r="AD64" s="151"/>
      <c r="AE64" s="153"/>
      <c r="AF64" s="151"/>
      <c r="AG64" s="153"/>
      <c r="AH64" s="151"/>
      <c r="AI64" s="153"/>
      <c r="AJ64" s="151"/>
      <c r="AK64" s="153"/>
      <c r="AL64" s="151"/>
      <c r="AM64" s="153"/>
      <c r="AN64" s="151"/>
      <c r="AO64" s="153"/>
      <c r="AP64" s="61">
        <f t="shared" si="7"/>
        <v>103184</v>
      </c>
      <c r="AQ64" s="75">
        <f t="shared" si="8"/>
        <v>113320</v>
      </c>
      <c r="AR64" s="150" t="s">
        <v>80</v>
      </c>
    </row>
    <row r="65" spans="1:44" ht="26.25" x14ac:dyDescent="0.25">
      <c r="A65" s="4" t="s">
        <v>109</v>
      </c>
      <c r="B65" s="4" t="s">
        <v>92</v>
      </c>
      <c r="C65" s="5" t="s">
        <v>93</v>
      </c>
      <c r="D65" s="151">
        <v>5608</v>
      </c>
      <c r="E65" s="153">
        <v>6435</v>
      </c>
      <c r="F65" s="151"/>
      <c r="G65" s="153"/>
      <c r="H65" s="151"/>
      <c r="I65" s="153"/>
      <c r="J65" s="151"/>
      <c r="K65" s="153"/>
      <c r="L65" s="151"/>
      <c r="M65" s="153"/>
      <c r="N65" s="151"/>
      <c r="O65" s="153"/>
      <c r="P65" s="151"/>
      <c r="Q65" s="153"/>
      <c r="R65" s="151"/>
      <c r="S65" s="153"/>
      <c r="T65" s="151"/>
      <c r="U65" s="153"/>
      <c r="V65" s="151"/>
      <c r="W65" s="153"/>
      <c r="X65" s="151"/>
      <c r="Y65" s="153"/>
      <c r="Z65" s="61">
        <f t="shared" si="5"/>
        <v>5608</v>
      </c>
      <c r="AA65" s="75">
        <f t="shared" si="6"/>
        <v>6435</v>
      </c>
      <c r="AB65" s="151"/>
      <c r="AC65" s="153"/>
      <c r="AD65" s="151"/>
      <c r="AE65" s="153"/>
      <c r="AF65" s="151"/>
      <c r="AG65" s="153"/>
      <c r="AH65" s="151"/>
      <c r="AI65" s="153"/>
      <c r="AJ65" s="151"/>
      <c r="AK65" s="153"/>
      <c r="AL65" s="151"/>
      <c r="AM65" s="153"/>
      <c r="AN65" s="151"/>
      <c r="AO65" s="153"/>
      <c r="AP65" s="61">
        <f t="shared" si="7"/>
        <v>5608</v>
      </c>
      <c r="AQ65" s="75">
        <f t="shared" si="8"/>
        <v>6435</v>
      </c>
      <c r="AR65" s="150" t="s">
        <v>80</v>
      </c>
    </row>
    <row r="66" spans="1:44" ht="26.25" x14ac:dyDescent="0.25">
      <c r="A66" s="4" t="s">
        <v>109</v>
      </c>
      <c r="B66" s="4" t="s">
        <v>84</v>
      </c>
      <c r="C66" s="5" t="s">
        <v>82</v>
      </c>
      <c r="D66" s="151">
        <v>16848</v>
      </c>
      <c r="E66" s="153">
        <v>16928</v>
      </c>
      <c r="F66" s="151"/>
      <c r="G66" s="153"/>
      <c r="H66" s="151"/>
      <c r="I66" s="153"/>
      <c r="J66" s="151"/>
      <c r="K66" s="153"/>
      <c r="L66" s="151"/>
      <c r="M66" s="153"/>
      <c r="N66" s="151"/>
      <c r="O66" s="153"/>
      <c r="P66" s="151"/>
      <c r="Q66" s="153"/>
      <c r="R66" s="151"/>
      <c r="S66" s="153"/>
      <c r="T66" s="151"/>
      <c r="U66" s="153"/>
      <c r="V66" s="151"/>
      <c r="W66" s="153"/>
      <c r="X66" s="151"/>
      <c r="Y66" s="153"/>
      <c r="Z66" s="61">
        <f t="shared" si="5"/>
        <v>16848</v>
      </c>
      <c r="AA66" s="75">
        <f t="shared" si="6"/>
        <v>16928</v>
      </c>
      <c r="AB66" s="151"/>
      <c r="AC66" s="153"/>
      <c r="AD66" s="151"/>
      <c r="AE66" s="153"/>
      <c r="AF66" s="151"/>
      <c r="AG66" s="153"/>
      <c r="AH66" s="151"/>
      <c r="AI66" s="153"/>
      <c r="AJ66" s="151"/>
      <c r="AK66" s="153"/>
      <c r="AL66" s="151"/>
      <c r="AM66" s="153"/>
      <c r="AN66" s="151"/>
      <c r="AO66" s="153"/>
      <c r="AP66" s="61">
        <f t="shared" si="7"/>
        <v>16848</v>
      </c>
      <c r="AQ66" s="75">
        <f t="shared" si="8"/>
        <v>16928</v>
      </c>
      <c r="AR66" s="150" t="s">
        <v>80</v>
      </c>
    </row>
    <row r="67" spans="1:44" ht="30" x14ac:dyDescent="0.25">
      <c r="A67" s="4" t="s">
        <v>109</v>
      </c>
      <c r="B67" s="4" t="s">
        <v>100</v>
      </c>
      <c r="C67" s="5" t="s">
        <v>101</v>
      </c>
      <c r="D67" s="151"/>
      <c r="E67" s="153"/>
      <c r="F67" s="151"/>
      <c r="G67" s="153"/>
      <c r="H67" s="151"/>
      <c r="I67" s="153"/>
      <c r="J67" s="151"/>
      <c r="K67" s="153"/>
      <c r="L67" s="151"/>
      <c r="M67" s="153"/>
      <c r="N67" s="151"/>
      <c r="O67" s="153"/>
      <c r="P67" s="151"/>
      <c r="Q67" s="153"/>
      <c r="R67" s="151"/>
      <c r="S67" s="153"/>
      <c r="T67" s="151"/>
      <c r="U67" s="153"/>
      <c r="V67" s="151"/>
      <c r="W67" s="153"/>
      <c r="X67" s="151"/>
      <c r="Y67" s="153"/>
      <c r="Z67" s="61">
        <f t="shared" si="5"/>
        <v>0</v>
      </c>
      <c r="AA67" s="75">
        <f t="shared" si="6"/>
        <v>0</v>
      </c>
      <c r="AB67" s="151"/>
      <c r="AC67" s="153"/>
      <c r="AD67" s="151"/>
      <c r="AE67" s="153"/>
      <c r="AF67" s="151"/>
      <c r="AG67" s="153"/>
      <c r="AH67" s="151"/>
      <c r="AI67" s="153"/>
      <c r="AJ67" s="151"/>
      <c r="AK67" s="153"/>
      <c r="AL67" s="151">
        <v>6636</v>
      </c>
      <c r="AM67" s="153">
        <v>6300</v>
      </c>
      <c r="AN67" s="151"/>
      <c r="AO67" s="153"/>
      <c r="AP67" s="61">
        <f t="shared" si="7"/>
        <v>6636</v>
      </c>
      <c r="AQ67" s="75">
        <f t="shared" si="8"/>
        <v>6300</v>
      </c>
      <c r="AR67" s="150" t="s">
        <v>102</v>
      </c>
    </row>
    <row r="68" spans="1:44" x14ac:dyDescent="0.25">
      <c r="A68" s="4" t="s">
        <v>109</v>
      </c>
      <c r="B68" s="4" t="s">
        <v>105</v>
      </c>
      <c r="C68" s="5"/>
      <c r="D68" s="151">
        <v>9357</v>
      </c>
      <c r="E68" s="153">
        <v>11153</v>
      </c>
      <c r="F68" s="151"/>
      <c r="G68" s="153"/>
      <c r="H68" s="151"/>
      <c r="I68" s="153"/>
      <c r="J68" s="151"/>
      <c r="K68" s="153"/>
      <c r="L68" s="151"/>
      <c r="M68" s="153"/>
      <c r="N68" s="151"/>
      <c r="O68" s="153"/>
      <c r="P68" s="151"/>
      <c r="Q68" s="153"/>
      <c r="R68" s="151"/>
      <c r="S68" s="153"/>
      <c r="T68" s="151"/>
      <c r="U68" s="153"/>
      <c r="V68" s="151"/>
      <c r="W68" s="153"/>
      <c r="X68" s="151"/>
      <c r="Y68" s="153"/>
      <c r="Z68" s="61">
        <f t="shared" si="5"/>
        <v>9357</v>
      </c>
      <c r="AA68" s="75">
        <f t="shared" si="6"/>
        <v>11153</v>
      </c>
      <c r="AB68" s="151"/>
      <c r="AC68" s="153"/>
      <c r="AD68" s="151"/>
      <c r="AE68" s="153"/>
      <c r="AF68" s="151"/>
      <c r="AG68" s="153"/>
      <c r="AH68" s="151"/>
      <c r="AI68" s="153"/>
      <c r="AJ68" s="151"/>
      <c r="AK68" s="153"/>
      <c r="AL68" s="151"/>
      <c r="AM68" s="153"/>
      <c r="AN68" s="151"/>
      <c r="AO68" s="153"/>
      <c r="AP68" s="61">
        <f t="shared" si="7"/>
        <v>9357</v>
      </c>
      <c r="AQ68" s="75">
        <f t="shared" si="8"/>
        <v>11153</v>
      </c>
      <c r="AR68" s="150" t="s">
        <v>58</v>
      </c>
    </row>
    <row r="69" spans="1:44" x14ac:dyDescent="0.25">
      <c r="A69" s="4" t="s">
        <v>109</v>
      </c>
      <c r="B69" s="4" t="s">
        <v>106</v>
      </c>
      <c r="C69" s="5"/>
      <c r="D69" s="151">
        <v>9190</v>
      </c>
      <c r="E69" s="153">
        <v>10533</v>
      </c>
      <c r="F69" s="151"/>
      <c r="G69" s="153"/>
      <c r="H69" s="151"/>
      <c r="I69" s="153"/>
      <c r="J69" s="151"/>
      <c r="K69" s="153"/>
      <c r="L69" s="151"/>
      <c r="M69" s="153"/>
      <c r="N69" s="151"/>
      <c r="O69" s="153"/>
      <c r="P69" s="151"/>
      <c r="Q69" s="153"/>
      <c r="R69" s="151"/>
      <c r="S69" s="153"/>
      <c r="T69" s="151"/>
      <c r="U69" s="153"/>
      <c r="V69" s="151"/>
      <c r="W69" s="153"/>
      <c r="X69" s="151"/>
      <c r="Y69" s="153"/>
      <c r="Z69" s="61">
        <f t="shared" si="5"/>
        <v>9190</v>
      </c>
      <c r="AA69" s="75">
        <f t="shared" si="6"/>
        <v>10533</v>
      </c>
      <c r="AB69" s="151"/>
      <c r="AC69" s="153"/>
      <c r="AD69" s="151"/>
      <c r="AE69" s="153"/>
      <c r="AF69" s="151"/>
      <c r="AG69" s="153"/>
      <c r="AH69" s="151"/>
      <c r="AI69" s="153"/>
      <c r="AJ69" s="151"/>
      <c r="AK69" s="153"/>
      <c r="AL69" s="151"/>
      <c r="AM69" s="153"/>
      <c r="AN69" s="151"/>
      <c r="AO69" s="153"/>
      <c r="AP69" s="61">
        <f t="shared" si="7"/>
        <v>9190</v>
      </c>
      <c r="AQ69" s="75">
        <f t="shared" si="8"/>
        <v>10533</v>
      </c>
      <c r="AR69" s="150" t="s">
        <v>58</v>
      </c>
    </row>
    <row r="70" spans="1:44" x14ac:dyDescent="0.25">
      <c r="A70" s="16" t="s">
        <v>123</v>
      </c>
      <c r="B70" s="16" t="s">
        <v>108</v>
      </c>
      <c r="C70" s="17"/>
      <c r="D70" s="18">
        <f t="shared" ref="D70:AQ70" si="13">SUM(D38:D69)</f>
        <v>612458</v>
      </c>
      <c r="E70" s="105">
        <f t="shared" si="13"/>
        <v>712859</v>
      </c>
      <c r="F70" s="18">
        <f t="shared" si="13"/>
        <v>3260</v>
      </c>
      <c r="G70" s="18">
        <f t="shared" si="13"/>
        <v>3250</v>
      </c>
      <c r="H70" s="18">
        <f t="shared" si="13"/>
        <v>61600</v>
      </c>
      <c r="I70" s="18">
        <f t="shared" si="13"/>
        <v>55660</v>
      </c>
      <c r="J70" s="18">
        <f t="shared" si="13"/>
        <v>9140</v>
      </c>
      <c r="K70" s="18">
        <f t="shared" si="13"/>
        <v>8940</v>
      </c>
      <c r="L70" s="18">
        <f t="shared" si="13"/>
        <v>22920</v>
      </c>
      <c r="M70" s="18">
        <f t="shared" si="13"/>
        <v>23130</v>
      </c>
      <c r="N70" s="18">
        <f t="shared" si="13"/>
        <v>7372</v>
      </c>
      <c r="O70" s="18">
        <f t="shared" si="13"/>
        <v>7242</v>
      </c>
      <c r="P70" s="18">
        <f t="shared" si="13"/>
        <v>0</v>
      </c>
      <c r="Q70" s="18">
        <f t="shared" si="13"/>
        <v>0</v>
      </c>
      <c r="R70" s="18">
        <f t="shared" si="13"/>
        <v>11460</v>
      </c>
      <c r="S70" s="18">
        <f t="shared" si="13"/>
        <v>10760</v>
      </c>
      <c r="T70" s="18">
        <f t="shared" si="13"/>
        <v>59140</v>
      </c>
      <c r="U70" s="18">
        <f t="shared" si="13"/>
        <v>60143</v>
      </c>
      <c r="V70" s="18">
        <f t="shared" si="13"/>
        <v>14400</v>
      </c>
      <c r="W70" s="18">
        <f t="shared" si="13"/>
        <v>12900</v>
      </c>
      <c r="X70" s="18">
        <f t="shared" si="13"/>
        <v>0</v>
      </c>
      <c r="Y70" s="18">
        <f t="shared" si="13"/>
        <v>0</v>
      </c>
      <c r="Z70" s="18">
        <f t="shared" si="13"/>
        <v>801750</v>
      </c>
      <c r="AA70" s="18">
        <f t="shared" si="13"/>
        <v>894884</v>
      </c>
      <c r="AB70" s="18">
        <f t="shared" si="13"/>
        <v>530</v>
      </c>
      <c r="AC70" s="18">
        <f t="shared" si="13"/>
        <v>270</v>
      </c>
      <c r="AD70" s="18">
        <f t="shared" si="13"/>
        <v>60689</v>
      </c>
      <c r="AE70" s="18">
        <f t="shared" si="13"/>
        <v>56933</v>
      </c>
      <c r="AF70" s="18">
        <f t="shared" si="13"/>
        <v>65280</v>
      </c>
      <c r="AG70" s="18">
        <f t="shared" si="13"/>
        <v>64840</v>
      </c>
      <c r="AH70" s="18">
        <f t="shared" si="13"/>
        <v>2850</v>
      </c>
      <c r="AI70" s="18">
        <f t="shared" si="13"/>
        <v>2416</v>
      </c>
      <c r="AJ70" s="18">
        <f t="shared" si="13"/>
        <v>0</v>
      </c>
      <c r="AK70" s="18">
        <f t="shared" si="13"/>
        <v>0</v>
      </c>
      <c r="AL70" s="18">
        <f t="shared" si="13"/>
        <v>6636</v>
      </c>
      <c r="AM70" s="18">
        <f t="shared" si="13"/>
        <v>6300</v>
      </c>
      <c r="AN70" s="18">
        <f t="shared" si="13"/>
        <v>0</v>
      </c>
      <c r="AO70" s="18">
        <f t="shared" si="13"/>
        <v>0</v>
      </c>
      <c r="AP70" s="18">
        <f t="shared" si="13"/>
        <v>937735</v>
      </c>
      <c r="AQ70" s="18">
        <f t="shared" si="13"/>
        <v>1025643</v>
      </c>
      <c r="AR70" s="150"/>
    </row>
    <row r="71" spans="1:44" x14ac:dyDescent="0.25">
      <c r="A71" s="4" t="s">
        <v>124</v>
      </c>
      <c r="B71" s="4" t="s">
        <v>125</v>
      </c>
      <c r="C71" s="5" t="s">
        <v>57</v>
      </c>
      <c r="D71" s="43">
        <v>50508</v>
      </c>
      <c r="E71" s="97">
        <v>48586</v>
      </c>
      <c r="F71" s="43">
        <f>400+120</f>
        <v>520</v>
      </c>
      <c r="G71" s="97">
        <v>520</v>
      </c>
      <c r="H71" s="43">
        <f>2500+181</f>
        <v>2681</v>
      </c>
      <c r="I71" s="97">
        <v>2681</v>
      </c>
      <c r="J71" s="43">
        <f>630+30</f>
        <v>660</v>
      </c>
      <c r="K71" s="97">
        <v>660</v>
      </c>
      <c r="L71" s="43">
        <f>1700+40</f>
        <v>1740</v>
      </c>
      <c r="M71" s="97">
        <v>1740</v>
      </c>
      <c r="N71" s="43">
        <f>90+20</f>
        <v>110</v>
      </c>
      <c r="O71" s="97">
        <v>110</v>
      </c>
      <c r="P71" s="43"/>
      <c r="Q71" s="97"/>
      <c r="R71" s="43">
        <f>3000+70</f>
        <v>3070</v>
      </c>
      <c r="S71" s="97">
        <v>3070</v>
      </c>
      <c r="T71" s="43"/>
      <c r="U71" s="97"/>
      <c r="V71" s="43"/>
      <c r="W71" s="97"/>
      <c r="X71" s="43"/>
      <c r="Y71" s="97"/>
      <c r="Z71" s="61">
        <f t="shared" ref="Z71:Z95" si="14">D71+F71+H71+J71+L71+P71+R71+T71+V71+X71+N71</f>
        <v>59289</v>
      </c>
      <c r="AA71" s="75">
        <f t="shared" ref="AA71:AA95" si="15">E71+G71+I71+K71+M71+Q71+S71+U71+W71+Y71+O71</f>
        <v>57367</v>
      </c>
      <c r="AB71" s="43"/>
      <c r="AC71" s="97"/>
      <c r="AD71" s="43">
        <f>10642+279</f>
        <v>10921</v>
      </c>
      <c r="AE71" s="97">
        <v>7000</v>
      </c>
      <c r="AF71" s="43">
        <f>2348+88</f>
        <v>2436</v>
      </c>
      <c r="AG71" s="97">
        <v>4825</v>
      </c>
      <c r="AH71" s="43"/>
      <c r="AI71" s="97"/>
      <c r="AJ71" s="43"/>
      <c r="AK71" s="97"/>
      <c r="AL71" s="151"/>
      <c r="AM71" s="97"/>
      <c r="AN71" s="62"/>
      <c r="AO71" s="97">
        <v>2000</v>
      </c>
      <c r="AP71" s="61">
        <f t="shared" ref="AP71:AP95" si="16">Z71+AB71+AD71+AF71+AH71+AJ71+AL71+AN71</f>
        <v>72646</v>
      </c>
      <c r="AQ71" s="75">
        <f t="shared" ref="AQ71:AQ95" si="17">AA71+AC71+AE71+AG71+AI71+AK71+AM71+AO71</f>
        <v>71192</v>
      </c>
      <c r="AR71" s="150" t="s">
        <v>58</v>
      </c>
    </row>
    <row r="72" spans="1:44" x14ac:dyDescent="0.25">
      <c r="A72" s="4" t="s">
        <v>124</v>
      </c>
      <c r="B72" s="4" t="s">
        <v>98</v>
      </c>
      <c r="C72" s="5" t="s">
        <v>99</v>
      </c>
      <c r="D72" s="43"/>
      <c r="E72" s="97"/>
      <c r="F72" s="43">
        <v>140</v>
      </c>
      <c r="G72" s="97">
        <v>140</v>
      </c>
      <c r="H72" s="43">
        <v>271</v>
      </c>
      <c r="I72" s="97">
        <v>271</v>
      </c>
      <c r="J72" s="43">
        <v>45</v>
      </c>
      <c r="K72" s="97">
        <v>45</v>
      </c>
      <c r="L72" s="43">
        <v>200</v>
      </c>
      <c r="M72" s="97">
        <v>200</v>
      </c>
      <c r="N72" s="43">
        <v>16</v>
      </c>
      <c r="O72" s="97">
        <v>16</v>
      </c>
      <c r="P72" s="43"/>
      <c r="Q72" s="97"/>
      <c r="R72" s="43">
        <v>128</v>
      </c>
      <c r="S72" s="97">
        <v>128</v>
      </c>
      <c r="T72" s="43"/>
      <c r="U72" s="97"/>
      <c r="V72" s="43"/>
      <c r="W72" s="97"/>
      <c r="X72" s="43"/>
      <c r="Y72" s="97"/>
      <c r="Z72" s="61">
        <f t="shared" si="14"/>
        <v>800</v>
      </c>
      <c r="AA72" s="75">
        <f t="shared" si="15"/>
        <v>800</v>
      </c>
      <c r="AB72" s="43"/>
      <c r="AC72" s="97"/>
      <c r="AD72" s="43">
        <v>84</v>
      </c>
      <c r="AE72" s="97">
        <v>30</v>
      </c>
      <c r="AF72" s="43">
        <v>161</v>
      </c>
      <c r="AG72" s="97">
        <v>30</v>
      </c>
      <c r="AH72" s="43"/>
      <c r="AI72" s="97"/>
      <c r="AJ72" s="43"/>
      <c r="AK72" s="97"/>
      <c r="AL72" s="151"/>
      <c r="AM72" s="97"/>
      <c r="AN72" s="151"/>
      <c r="AO72" s="153"/>
      <c r="AP72" s="61">
        <f t="shared" si="16"/>
        <v>1045</v>
      </c>
      <c r="AQ72" s="75">
        <f t="shared" si="17"/>
        <v>860</v>
      </c>
      <c r="AR72" s="150" t="s">
        <v>58</v>
      </c>
    </row>
    <row r="73" spans="1:44" ht="26.25" x14ac:dyDescent="0.25">
      <c r="A73" s="4" t="s">
        <v>124</v>
      </c>
      <c r="B73" s="4" t="s">
        <v>65</v>
      </c>
      <c r="C73" s="5" t="s">
        <v>60</v>
      </c>
      <c r="D73" s="43">
        <v>81572</v>
      </c>
      <c r="E73" s="97">
        <v>98239</v>
      </c>
      <c r="F73" s="43"/>
      <c r="G73" s="97"/>
      <c r="H73" s="43">
        <v>8668</v>
      </c>
      <c r="I73" s="97">
        <v>8668</v>
      </c>
      <c r="J73" s="43"/>
      <c r="K73" s="97"/>
      <c r="L73" s="43">
        <v>1100</v>
      </c>
      <c r="M73" s="97">
        <v>1100</v>
      </c>
      <c r="N73" s="43">
        <v>3000</v>
      </c>
      <c r="O73" s="97">
        <v>3000</v>
      </c>
      <c r="P73" s="43"/>
      <c r="Q73" s="97"/>
      <c r="R73" s="43"/>
      <c r="S73" s="97"/>
      <c r="T73" s="43"/>
      <c r="U73" s="97"/>
      <c r="V73" s="43"/>
      <c r="W73" s="97"/>
      <c r="X73" s="43"/>
      <c r="Y73" s="97"/>
      <c r="Z73" s="61">
        <f t="shared" si="14"/>
        <v>94340</v>
      </c>
      <c r="AA73" s="75">
        <f t="shared" si="15"/>
        <v>111007</v>
      </c>
      <c r="AB73" s="43"/>
      <c r="AC73" s="97"/>
      <c r="AD73" s="43">
        <v>29950</v>
      </c>
      <c r="AE73" s="97">
        <v>24000</v>
      </c>
      <c r="AF73" s="43">
        <v>1000</v>
      </c>
      <c r="AG73" s="97">
        <v>1000</v>
      </c>
      <c r="AH73" s="43"/>
      <c r="AI73" s="97"/>
      <c r="AJ73" s="43"/>
      <c r="AK73" s="97"/>
      <c r="AL73" s="151"/>
      <c r="AM73" s="97"/>
      <c r="AN73" s="151"/>
      <c r="AO73" s="153"/>
      <c r="AP73" s="61">
        <f t="shared" si="16"/>
        <v>125290</v>
      </c>
      <c r="AQ73" s="75">
        <f t="shared" si="17"/>
        <v>136007</v>
      </c>
      <c r="AR73" s="150" t="s">
        <v>61</v>
      </c>
    </row>
    <row r="74" spans="1:44" ht="26.25" x14ac:dyDescent="0.25">
      <c r="A74" s="4" t="s">
        <v>124</v>
      </c>
      <c r="B74" s="4" t="s">
        <v>62</v>
      </c>
      <c r="C74" s="5" t="s">
        <v>60</v>
      </c>
      <c r="D74" s="43"/>
      <c r="E74" s="97"/>
      <c r="F74" s="43"/>
      <c r="G74" s="97"/>
      <c r="H74" s="43"/>
      <c r="I74" s="97"/>
      <c r="J74" s="43"/>
      <c r="K74" s="97"/>
      <c r="L74" s="43"/>
      <c r="M74" s="97"/>
      <c r="N74" s="43"/>
      <c r="O74" s="97"/>
      <c r="P74" s="43"/>
      <c r="Q74" s="97"/>
      <c r="R74" s="43"/>
      <c r="S74" s="97"/>
      <c r="T74" s="43"/>
      <c r="U74" s="97"/>
      <c r="V74" s="43"/>
      <c r="W74" s="97"/>
      <c r="X74" s="43"/>
      <c r="Y74" s="97"/>
      <c r="Z74" s="61">
        <f t="shared" si="14"/>
        <v>0</v>
      </c>
      <c r="AA74" s="75">
        <f t="shared" si="15"/>
        <v>0</v>
      </c>
      <c r="AB74" s="43"/>
      <c r="AC74" s="97"/>
      <c r="AD74" s="43">
        <v>18173</v>
      </c>
      <c r="AE74" s="97">
        <v>18915</v>
      </c>
      <c r="AF74" s="43"/>
      <c r="AG74" s="97"/>
      <c r="AH74" s="43"/>
      <c r="AI74" s="97"/>
      <c r="AJ74" s="43"/>
      <c r="AK74" s="97"/>
      <c r="AL74" s="151"/>
      <c r="AM74" s="97"/>
      <c r="AN74" s="151"/>
      <c r="AO74" s="153"/>
      <c r="AP74" s="61">
        <f t="shared" si="16"/>
        <v>18173</v>
      </c>
      <c r="AQ74" s="75">
        <f t="shared" si="17"/>
        <v>18915</v>
      </c>
      <c r="AR74" s="150" t="s">
        <v>63</v>
      </c>
    </row>
    <row r="75" spans="1:44" x14ac:dyDescent="0.25">
      <c r="A75" s="4" t="s">
        <v>124</v>
      </c>
      <c r="B75" s="4" t="s">
        <v>64</v>
      </c>
      <c r="C75" s="5" t="s">
        <v>60</v>
      </c>
      <c r="D75" s="43"/>
      <c r="E75" s="97"/>
      <c r="F75" s="43"/>
      <c r="G75" s="97"/>
      <c r="H75" s="43"/>
      <c r="I75" s="97"/>
      <c r="J75" s="43"/>
      <c r="K75" s="97"/>
      <c r="L75" s="43"/>
      <c r="M75" s="97"/>
      <c r="N75" s="43"/>
      <c r="O75" s="97"/>
      <c r="P75" s="43"/>
      <c r="Q75" s="97"/>
      <c r="R75" s="43"/>
      <c r="S75" s="97"/>
      <c r="T75" s="43"/>
      <c r="U75" s="97"/>
      <c r="V75" s="43"/>
      <c r="W75" s="97"/>
      <c r="X75" s="43"/>
      <c r="Y75" s="97"/>
      <c r="Z75" s="61">
        <f t="shared" si="14"/>
        <v>0</v>
      </c>
      <c r="AA75" s="75">
        <f t="shared" si="15"/>
        <v>0</v>
      </c>
      <c r="AB75" s="43"/>
      <c r="AC75" s="97"/>
      <c r="AD75" s="43">
        <v>29092</v>
      </c>
      <c r="AE75" s="97">
        <v>29144</v>
      </c>
      <c r="AF75" s="43"/>
      <c r="AG75" s="97"/>
      <c r="AH75" s="43"/>
      <c r="AI75" s="97"/>
      <c r="AJ75" s="43"/>
      <c r="AK75" s="97"/>
      <c r="AL75" s="151"/>
      <c r="AM75" s="97"/>
      <c r="AN75" s="151"/>
      <c r="AO75" s="153"/>
      <c r="AP75" s="61">
        <f t="shared" si="16"/>
        <v>29092</v>
      </c>
      <c r="AQ75" s="75">
        <f t="shared" si="17"/>
        <v>29144</v>
      </c>
      <c r="AR75" s="150" t="s">
        <v>63</v>
      </c>
    </row>
    <row r="76" spans="1:44" x14ac:dyDescent="0.25">
      <c r="A76" s="4" t="s">
        <v>124</v>
      </c>
      <c r="B76" s="4" t="s">
        <v>126</v>
      </c>
      <c r="C76" s="5" t="s">
        <v>73</v>
      </c>
      <c r="D76" s="43">
        <v>10692</v>
      </c>
      <c r="E76" s="97">
        <v>11583</v>
      </c>
      <c r="F76" s="43">
        <v>80</v>
      </c>
      <c r="G76" s="97">
        <v>80</v>
      </c>
      <c r="H76" s="43">
        <v>2373</v>
      </c>
      <c r="I76" s="97">
        <v>2373</v>
      </c>
      <c r="J76" s="43">
        <v>150</v>
      </c>
      <c r="K76" s="97">
        <v>150</v>
      </c>
      <c r="L76" s="43">
        <v>900</v>
      </c>
      <c r="M76" s="97">
        <v>900</v>
      </c>
      <c r="N76" s="43">
        <v>70</v>
      </c>
      <c r="O76" s="97">
        <v>70</v>
      </c>
      <c r="P76" s="43"/>
      <c r="Q76" s="97"/>
      <c r="R76" s="43">
        <v>71</v>
      </c>
      <c r="S76" s="97">
        <v>71</v>
      </c>
      <c r="T76" s="43"/>
      <c r="U76" s="97"/>
      <c r="V76" s="43"/>
      <c r="W76" s="97"/>
      <c r="X76" s="43"/>
      <c r="Y76" s="97"/>
      <c r="Z76" s="61">
        <f t="shared" si="14"/>
        <v>14336</v>
      </c>
      <c r="AA76" s="75">
        <f t="shared" si="15"/>
        <v>15227</v>
      </c>
      <c r="AB76" s="43"/>
      <c r="AC76" s="97"/>
      <c r="AD76" s="43">
        <v>485</v>
      </c>
      <c r="AE76" s="97">
        <v>1100</v>
      </c>
      <c r="AF76" s="43">
        <v>703</v>
      </c>
      <c r="AG76" s="97">
        <v>500</v>
      </c>
      <c r="AH76" s="43">
        <v>2859</v>
      </c>
      <c r="AI76" s="97">
        <v>2853</v>
      </c>
      <c r="AJ76" s="43"/>
      <c r="AK76" s="97"/>
      <c r="AL76" s="151"/>
      <c r="AM76" s="97"/>
      <c r="AN76" s="151"/>
      <c r="AO76" s="153"/>
      <c r="AP76" s="61">
        <f t="shared" si="16"/>
        <v>18383</v>
      </c>
      <c r="AQ76" s="75">
        <f t="shared" si="17"/>
        <v>19680</v>
      </c>
      <c r="AR76" s="150" t="s">
        <v>74</v>
      </c>
    </row>
    <row r="77" spans="1:44" x14ac:dyDescent="0.25">
      <c r="A77" s="4" t="s">
        <v>124</v>
      </c>
      <c r="B77" s="4" t="s">
        <v>77</v>
      </c>
      <c r="C77" s="5" t="s">
        <v>73</v>
      </c>
      <c r="D77" s="43">
        <v>32909</v>
      </c>
      <c r="E77" s="97">
        <v>33176</v>
      </c>
      <c r="F77" s="43">
        <v>190</v>
      </c>
      <c r="G77" s="97">
        <v>190</v>
      </c>
      <c r="H77" s="43">
        <v>4746</v>
      </c>
      <c r="I77" s="97">
        <v>4746</v>
      </c>
      <c r="J77" s="43">
        <v>500</v>
      </c>
      <c r="K77" s="97">
        <v>500</v>
      </c>
      <c r="L77" s="43">
        <v>800</v>
      </c>
      <c r="M77" s="97">
        <v>800</v>
      </c>
      <c r="N77" s="43">
        <v>150</v>
      </c>
      <c r="O77" s="97">
        <v>150</v>
      </c>
      <c r="P77" s="43"/>
      <c r="Q77" s="97"/>
      <c r="R77" s="43">
        <v>940</v>
      </c>
      <c r="S77" s="97">
        <v>940</v>
      </c>
      <c r="T77" s="43"/>
      <c r="U77" s="97"/>
      <c r="V77" s="43"/>
      <c r="W77" s="97"/>
      <c r="X77" s="43"/>
      <c r="Y77" s="97"/>
      <c r="Z77" s="61">
        <f t="shared" si="14"/>
        <v>40235</v>
      </c>
      <c r="AA77" s="75">
        <f t="shared" si="15"/>
        <v>40502</v>
      </c>
      <c r="AB77" s="43">
        <v>110</v>
      </c>
      <c r="AC77" s="97">
        <v>110</v>
      </c>
      <c r="AD77" s="43">
        <v>9452</v>
      </c>
      <c r="AE77" s="97">
        <v>9000</v>
      </c>
      <c r="AF77" s="43">
        <v>3350</v>
      </c>
      <c r="AG77" s="97">
        <v>3000</v>
      </c>
      <c r="AH77" s="43"/>
      <c r="AI77" s="97"/>
      <c r="AJ77" s="43"/>
      <c r="AK77" s="97"/>
      <c r="AL77" s="151"/>
      <c r="AM77" s="97"/>
      <c r="AN77" s="151"/>
      <c r="AO77" s="153"/>
      <c r="AP77" s="61">
        <f t="shared" si="16"/>
        <v>53147</v>
      </c>
      <c r="AQ77" s="75">
        <f t="shared" si="17"/>
        <v>52612</v>
      </c>
      <c r="AR77" s="150" t="s">
        <v>74</v>
      </c>
    </row>
    <row r="78" spans="1:44" x14ac:dyDescent="0.25">
      <c r="A78" s="4" t="s">
        <v>124</v>
      </c>
      <c r="B78" s="4" t="s">
        <v>127</v>
      </c>
      <c r="C78" s="5" t="s">
        <v>82</v>
      </c>
      <c r="D78" s="43">
        <v>67426</v>
      </c>
      <c r="E78" s="97">
        <v>54740</v>
      </c>
      <c r="F78" s="43">
        <v>300</v>
      </c>
      <c r="G78" s="97">
        <v>300</v>
      </c>
      <c r="H78" s="43">
        <v>20340</v>
      </c>
      <c r="I78" s="97">
        <v>20340</v>
      </c>
      <c r="J78" s="43">
        <v>2376</v>
      </c>
      <c r="K78" s="97">
        <v>2376</v>
      </c>
      <c r="L78" s="43">
        <v>5500</v>
      </c>
      <c r="M78" s="97">
        <v>5500</v>
      </c>
      <c r="N78" s="43">
        <v>240</v>
      </c>
      <c r="O78" s="97">
        <v>240</v>
      </c>
      <c r="P78" s="43"/>
      <c r="Q78" s="97"/>
      <c r="R78" s="43">
        <v>500</v>
      </c>
      <c r="S78" s="97">
        <v>500</v>
      </c>
      <c r="T78" s="43">
        <v>12499</v>
      </c>
      <c r="U78" s="97">
        <v>10802</v>
      </c>
      <c r="V78" s="43"/>
      <c r="W78" s="97"/>
      <c r="X78" s="43"/>
      <c r="Y78" s="97"/>
      <c r="Z78" s="61">
        <f t="shared" si="14"/>
        <v>109181</v>
      </c>
      <c r="AA78" s="75">
        <f t="shared" si="15"/>
        <v>94798</v>
      </c>
      <c r="AB78" s="43"/>
      <c r="AC78" s="97">
        <v>100</v>
      </c>
      <c r="AD78" s="43">
        <v>4675</v>
      </c>
      <c r="AE78" s="97">
        <v>5000</v>
      </c>
      <c r="AF78" s="43">
        <v>4549</v>
      </c>
      <c r="AG78" s="97">
        <v>5000</v>
      </c>
      <c r="AH78" s="43"/>
      <c r="AI78" s="97"/>
      <c r="AJ78" s="43"/>
      <c r="AK78" s="97"/>
      <c r="AL78" s="151"/>
      <c r="AM78" s="97"/>
      <c r="AN78" s="151"/>
      <c r="AO78" s="153"/>
      <c r="AP78" s="61">
        <f t="shared" si="16"/>
        <v>118405</v>
      </c>
      <c r="AQ78" s="75">
        <f t="shared" si="17"/>
        <v>104898</v>
      </c>
      <c r="AR78" s="150" t="s">
        <v>128</v>
      </c>
    </row>
    <row r="79" spans="1:44" ht="26.25" x14ac:dyDescent="0.25">
      <c r="A79" s="4" t="s">
        <v>124</v>
      </c>
      <c r="B79" s="4" t="s">
        <v>83</v>
      </c>
      <c r="C79" s="5" t="s">
        <v>82</v>
      </c>
      <c r="D79" s="43">
        <f>66165+1397</f>
        <v>67562</v>
      </c>
      <c r="E79" s="97">
        <v>48724</v>
      </c>
      <c r="F79" s="43"/>
      <c r="G79" s="97"/>
      <c r="H79" s="43"/>
      <c r="I79" s="97"/>
      <c r="J79" s="43"/>
      <c r="K79" s="97"/>
      <c r="L79" s="43"/>
      <c r="M79" s="97"/>
      <c r="N79" s="43"/>
      <c r="O79" s="97"/>
      <c r="P79" s="43"/>
      <c r="Q79" s="97"/>
      <c r="R79" s="43"/>
      <c r="S79" s="97"/>
      <c r="T79" s="43"/>
      <c r="U79" s="97"/>
      <c r="V79" s="43"/>
      <c r="W79" s="97"/>
      <c r="X79" s="43"/>
      <c r="Y79" s="97"/>
      <c r="Z79" s="61">
        <f t="shared" si="14"/>
        <v>67562</v>
      </c>
      <c r="AA79" s="75">
        <f t="shared" si="15"/>
        <v>48724</v>
      </c>
      <c r="AB79" s="43"/>
      <c r="AC79" s="97"/>
      <c r="AD79" s="43"/>
      <c r="AE79" s="97"/>
      <c r="AF79" s="43"/>
      <c r="AG79" s="97"/>
      <c r="AH79" s="43"/>
      <c r="AI79" s="97"/>
      <c r="AJ79" s="43"/>
      <c r="AK79" s="97"/>
      <c r="AL79" s="151"/>
      <c r="AM79" s="97"/>
      <c r="AN79" s="151"/>
      <c r="AO79" s="153"/>
      <c r="AP79" s="61">
        <f t="shared" si="16"/>
        <v>67562</v>
      </c>
      <c r="AQ79" s="75">
        <f t="shared" si="17"/>
        <v>48724</v>
      </c>
      <c r="AR79" s="150" t="s">
        <v>128</v>
      </c>
    </row>
    <row r="80" spans="1:44" x14ac:dyDescent="0.25">
      <c r="A80" s="4" t="s">
        <v>124</v>
      </c>
      <c r="B80" s="4" t="s">
        <v>85</v>
      </c>
      <c r="C80" s="5" t="s">
        <v>86</v>
      </c>
      <c r="D80" s="43">
        <v>18018</v>
      </c>
      <c r="E80" s="97">
        <v>19918</v>
      </c>
      <c r="F80" s="43">
        <v>380</v>
      </c>
      <c r="G80" s="97">
        <v>380</v>
      </c>
      <c r="H80" s="43"/>
      <c r="I80" s="97"/>
      <c r="J80" s="43">
        <v>1500</v>
      </c>
      <c r="K80" s="97">
        <v>1500</v>
      </c>
      <c r="L80" s="43">
        <v>6500</v>
      </c>
      <c r="M80" s="97">
        <v>6500</v>
      </c>
      <c r="N80" s="43">
        <v>650</v>
      </c>
      <c r="O80" s="97">
        <v>650</v>
      </c>
      <c r="P80" s="43">
        <v>2700</v>
      </c>
      <c r="Q80" s="97">
        <v>2700</v>
      </c>
      <c r="R80" s="43">
        <v>500</v>
      </c>
      <c r="S80" s="97">
        <v>500</v>
      </c>
      <c r="T80" s="43">
        <v>3620</v>
      </c>
      <c r="U80" s="97">
        <v>3620</v>
      </c>
      <c r="V80" s="43"/>
      <c r="W80" s="97"/>
      <c r="X80" s="43"/>
      <c r="Y80" s="97"/>
      <c r="Z80" s="61">
        <f t="shared" si="14"/>
        <v>33868</v>
      </c>
      <c r="AA80" s="75">
        <f t="shared" si="15"/>
        <v>35768</v>
      </c>
      <c r="AB80" s="43"/>
      <c r="AC80" s="97"/>
      <c r="AD80" s="43">
        <v>5566</v>
      </c>
      <c r="AE80" s="97">
        <v>5500</v>
      </c>
      <c r="AF80" s="43">
        <v>5926</v>
      </c>
      <c r="AG80" s="97">
        <v>6500</v>
      </c>
      <c r="AH80" s="43"/>
      <c r="AI80" s="97">
        <v>600</v>
      </c>
      <c r="AJ80" s="43"/>
      <c r="AK80" s="97"/>
      <c r="AL80" s="151"/>
      <c r="AM80" s="97"/>
      <c r="AN80" s="151"/>
      <c r="AO80" s="153"/>
      <c r="AP80" s="61">
        <f t="shared" si="16"/>
        <v>45360</v>
      </c>
      <c r="AQ80" s="75">
        <f t="shared" si="17"/>
        <v>48368</v>
      </c>
      <c r="AR80" s="150" t="s">
        <v>128</v>
      </c>
    </row>
    <row r="81" spans="1:45" ht="26.25" x14ac:dyDescent="0.25">
      <c r="A81" s="4" t="s">
        <v>124</v>
      </c>
      <c r="B81" s="4" t="s">
        <v>87</v>
      </c>
      <c r="C81" s="5" t="s">
        <v>86</v>
      </c>
      <c r="D81" s="43">
        <v>1241</v>
      </c>
      <c r="E81" s="97">
        <v>3985</v>
      </c>
      <c r="F81" s="43"/>
      <c r="G81" s="97"/>
      <c r="H81" s="43"/>
      <c r="I81" s="97"/>
      <c r="J81" s="43"/>
      <c r="K81" s="97"/>
      <c r="L81" s="43"/>
      <c r="M81" s="97"/>
      <c r="N81" s="43"/>
      <c r="O81" s="97"/>
      <c r="P81" s="43"/>
      <c r="Q81" s="97"/>
      <c r="R81" s="43"/>
      <c r="S81" s="97"/>
      <c r="T81" s="43"/>
      <c r="U81" s="97"/>
      <c r="V81" s="43"/>
      <c r="W81" s="97"/>
      <c r="X81" s="43"/>
      <c r="Y81" s="97"/>
      <c r="Z81" s="61">
        <f t="shared" si="14"/>
        <v>1241</v>
      </c>
      <c r="AA81" s="75">
        <f t="shared" si="15"/>
        <v>3985</v>
      </c>
      <c r="AB81" s="43"/>
      <c r="AC81" s="97"/>
      <c r="AD81" s="43"/>
      <c r="AE81" s="97"/>
      <c r="AF81" s="43"/>
      <c r="AG81" s="97"/>
      <c r="AH81" s="43"/>
      <c r="AI81" s="97"/>
      <c r="AJ81" s="43"/>
      <c r="AK81" s="97"/>
      <c r="AL81" s="151"/>
      <c r="AM81" s="97"/>
      <c r="AN81" s="151"/>
      <c r="AO81" s="153"/>
      <c r="AP81" s="61">
        <f t="shared" si="16"/>
        <v>1241</v>
      </c>
      <c r="AQ81" s="75">
        <f t="shared" si="17"/>
        <v>3985</v>
      </c>
      <c r="AR81" s="150" t="s">
        <v>128</v>
      </c>
      <c r="AS81" s="149"/>
    </row>
    <row r="82" spans="1:45" ht="26.25" x14ac:dyDescent="0.25">
      <c r="A82" s="4" t="s">
        <v>124</v>
      </c>
      <c r="B82" s="4" t="s">
        <v>88</v>
      </c>
      <c r="C82" s="5" t="s">
        <v>86</v>
      </c>
      <c r="D82" s="43"/>
      <c r="E82" s="97"/>
      <c r="F82" s="43"/>
      <c r="G82" s="97"/>
      <c r="H82" s="43"/>
      <c r="I82" s="97"/>
      <c r="J82" s="43"/>
      <c r="K82" s="97"/>
      <c r="L82" s="43"/>
      <c r="M82" s="97"/>
      <c r="N82" s="43"/>
      <c r="O82" s="97"/>
      <c r="P82" s="43"/>
      <c r="Q82" s="97"/>
      <c r="R82" s="43"/>
      <c r="S82" s="97"/>
      <c r="T82" s="43">
        <v>2386</v>
      </c>
      <c r="U82" s="97">
        <v>2249</v>
      </c>
      <c r="V82" s="43"/>
      <c r="W82" s="97"/>
      <c r="X82" s="43"/>
      <c r="Y82" s="97"/>
      <c r="Z82" s="61">
        <f t="shared" si="14"/>
        <v>2386</v>
      </c>
      <c r="AA82" s="75">
        <f t="shared" si="15"/>
        <v>2249</v>
      </c>
      <c r="AB82" s="43"/>
      <c r="AC82" s="97"/>
      <c r="AD82" s="43"/>
      <c r="AE82" s="97"/>
      <c r="AF82" s="43"/>
      <c r="AG82" s="97"/>
      <c r="AH82" s="43"/>
      <c r="AI82" s="97"/>
      <c r="AJ82" s="43"/>
      <c r="AK82" s="97"/>
      <c r="AL82" s="151"/>
      <c r="AM82" s="97"/>
      <c r="AN82" s="151"/>
      <c r="AO82" s="153"/>
      <c r="AP82" s="61">
        <f t="shared" si="16"/>
        <v>2386</v>
      </c>
      <c r="AQ82" s="75">
        <f t="shared" si="17"/>
        <v>2249</v>
      </c>
      <c r="AR82" s="150" t="s">
        <v>128</v>
      </c>
      <c r="AS82" s="149"/>
    </row>
    <row r="83" spans="1:45" ht="26.25" x14ac:dyDescent="0.25">
      <c r="A83" s="4" t="s">
        <v>124</v>
      </c>
      <c r="B83" s="4" t="s">
        <v>89</v>
      </c>
      <c r="C83" s="5" t="s">
        <v>86</v>
      </c>
      <c r="D83" s="43"/>
      <c r="E83" s="97"/>
      <c r="F83" s="43"/>
      <c r="G83" s="97"/>
      <c r="H83" s="43"/>
      <c r="I83" s="97"/>
      <c r="J83" s="43"/>
      <c r="K83" s="97"/>
      <c r="L83" s="43"/>
      <c r="M83" s="97"/>
      <c r="N83" s="43"/>
      <c r="O83" s="97"/>
      <c r="P83" s="43"/>
      <c r="Q83" s="97"/>
      <c r="R83" s="43"/>
      <c r="S83" s="97"/>
      <c r="T83" s="43">
        <v>2386</v>
      </c>
      <c r="U83" s="97">
        <v>2249</v>
      </c>
      <c r="V83" s="43"/>
      <c r="W83" s="97"/>
      <c r="X83" s="43"/>
      <c r="Y83" s="97"/>
      <c r="Z83" s="61">
        <f t="shared" si="14"/>
        <v>2386</v>
      </c>
      <c r="AA83" s="75">
        <f t="shared" si="15"/>
        <v>2249</v>
      </c>
      <c r="AB83" s="43"/>
      <c r="AC83" s="97"/>
      <c r="AD83" s="43"/>
      <c r="AE83" s="97"/>
      <c r="AF83" s="43"/>
      <c r="AG83" s="97"/>
      <c r="AH83" s="43"/>
      <c r="AI83" s="97"/>
      <c r="AJ83" s="43"/>
      <c r="AK83" s="97"/>
      <c r="AL83" s="151"/>
      <c r="AM83" s="97"/>
      <c r="AN83" s="151"/>
      <c r="AO83" s="153"/>
      <c r="AP83" s="61">
        <f t="shared" si="16"/>
        <v>2386</v>
      </c>
      <c r="AQ83" s="75">
        <f t="shared" si="17"/>
        <v>2249</v>
      </c>
      <c r="AR83" s="150" t="s">
        <v>128</v>
      </c>
      <c r="AS83" s="149"/>
    </row>
    <row r="84" spans="1:45" x14ac:dyDescent="0.25">
      <c r="A84" s="4" t="s">
        <v>124</v>
      </c>
      <c r="B84" s="4" t="s">
        <v>90</v>
      </c>
      <c r="C84" s="5" t="s">
        <v>86</v>
      </c>
      <c r="D84" s="43"/>
      <c r="E84" s="97"/>
      <c r="F84" s="43"/>
      <c r="G84" s="97"/>
      <c r="H84" s="43"/>
      <c r="I84" s="97"/>
      <c r="J84" s="43"/>
      <c r="K84" s="97"/>
      <c r="L84" s="43"/>
      <c r="M84" s="97"/>
      <c r="N84" s="43"/>
      <c r="O84" s="97"/>
      <c r="P84" s="43"/>
      <c r="Q84" s="97"/>
      <c r="R84" s="43"/>
      <c r="S84" s="97"/>
      <c r="T84" s="43">
        <v>300</v>
      </c>
      <c r="U84" s="97">
        <v>300</v>
      </c>
      <c r="V84" s="43"/>
      <c r="W84" s="97"/>
      <c r="X84" s="43"/>
      <c r="Y84" s="97"/>
      <c r="Z84" s="61">
        <f t="shared" si="14"/>
        <v>300</v>
      </c>
      <c r="AA84" s="75">
        <f t="shared" si="15"/>
        <v>300</v>
      </c>
      <c r="AB84" s="43"/>
      <c r="AC84" s="97"/>
      <c r="AD84" s="43"/>
      <c r="AE84" s="97"/>
      <c r="AF84" s="43"/>
      <c r="AG84" s="97"/>
      <c r="AH84" s="43"/>
      <c r="AI84" s="97"/>
      <c r="AJ84" s="43"/>
      <c r="AK84" s="97"/>
      <c r="AL84" s="151"/>
      <c r="AM84" s="97"/>
      <c r="AN84" s="151"/>
      <c r="AO84" s="153"/>
      <c r="AP84" s="61">
        <f t="shared" si="16"/>
        <v>300</v>
      </c>
      <c r="AQ84" s="75">
        <f t="shared" si="17"/>
        <v>300</v>
      </c>
      <c r="AR84" s="150" t="s">
        <v>128</v>
      </c>
      <c r="AS84" s="149"/>
    </row>
    <row r="85" spans="1:45" ht="30" x14ac:dyDescent="0.25">
      <c r="A85" s="4" t="s">
        <v>124</v>
      </c>
      <c r="B85" s="4" t="s">
        <v>129</v>
      </c>
      <c r="C85" s="5" t="s">
        <v>104</v>
      </c>
      <c r="D85" s="43"/>
      <c r="E85" s="97"/>
      <c r="F85" s="43">
        <v>140</v>
      </c>
      <c r="G85" s="97">
        <v>140</v>
      </c>
      <c r="H85" s="43">
        <v>305</v>
      </c>
      <c r="I85" s="97">
        <v>305</v>
      </c>
      <c r="J85" s="43">
        <v>35</v>
      </c>
      <c r="K85" s="97">
        <v>35</v>
      </c>
      <c r="L85" s="43">
        <v>220</v>
      </c>
      <c r="M85" s="97">
        <v>220</v>
      </c>
      <c r="N85" s="43">
        <v>30</v>
      </c>
      <c r="O85" s="97">
        <v>30</v>
      </c>
      <c r="P85" s="43"/>
      <c r="Q85" s="97"/>
      <c r="R85" s="43">
        <v>250</v>
      </c>
      <c r="S85" s="97">
        <v>250</v>
      </c>
      <c r="T85" s="43"/>
      <c r="U85" s="97"/>
      <c r="V85" s="43"/>
      <c r="W85" s="97"/>
      <c r="X85" s="43"/>
      <c r="Y85" s="97"/>
      <c r="Z85" s="61">
        <f t="shared" si="14"/>
        <v>980</v>
      </c>
      <c r="AA85" s="75">
        <f t="shared" si="15"/>
        <v>980</v>
      </c>
      <c r="AB85" s="43"/>
      <c r="AC85" s="97"/>
      <c r="AD85" s="43">
        <v>70</v>
      </c>
      <c r="AE85" s="97">
        <v>25</v>
      </c>
      <c r="AF85" s="43">
        <v>398</v>
      </c>
      <c r="AG85" s="97">
        <v>100</v>
      </c>
      <c r="AH85" s="43"/>
      <c r="AI85" s="97"/>
      <c r="AJ85" s="43"/>
      <c r="AK85" s="97"/>
      <c r="AL85" s="151"/>
      <c r="AM85" s="97"/>
      <c r="AN85" s="151"/>
      <c r="AO85" s="153"/>
      <c r="AP85" s="61">
        <f t="shared" si="16"/>
        <v>1448</v>
      </c>
      <c r="AQ85" s="75">
        <f t="shared" si="17"/>
        <v>1105</v>
      </c>
      <c r="AR85" s="150" t="s">
        <v>102</v>
      </c>
      <c r="AS85" s="149"/>
    </row>
    <row r="86" spans="1:45" x14ac:dyDescent="0.25">
      <c r="A86" s="4" t="s">
        <v>124</v>
      </c>
      <c r="B86" s="4" t="s">
        <v>69</v>
      </c>
      <c r="C86" s="5" t="s">
        <v>70</v>
      </c>
      <c r="D86" s="43">
        <v>1698</v>
      </c>
      <c r="E86" s="97">
        <v>1780</v>
      </c>
      <c r="F86" s="43">
        <v>84</v>
      </c>
      <c r="G86" s="97">
        <v>0</v>
      </c>
      <c r="H86" s="43"/>
      <c r="I86" s="97"/>
      <c r="J86" s="43"/>
      <c r="K86" s="97"/>
      <c r="L86" s="43"/>
      <c r="M86" s="97"/>
      <c r="N86" s="43"/>
      <c r="O86" s="97"/>
      <c r="P86" s="43"/>
      <c r="Q86" s="97"/>
      <c r="R86" s="43">
        <v>142</v>
      </c>
      <c r="S86" s="97">
        <v>142</v>
      </c>
      <c r="T86" s="43"/>
      <c r="U86" s="97"/>
      <c r="V86" s="43"/>
      <c r="W86" s="97"/>
      <c r="X86" s="43"/>
      <c r="Y86" s="97"/>
      <c r="Z86" s="61">
        <f t="shared" si="14"/>
        <v>1924</v>
      </c>
      <c r="AA86" s="75">
        <f t="shared" si="15"/>
        <v>1922</v>
      </c>
      <c r="AB86" s="43"/>
      <c r="AC86" s="97"/>
      <c r="AD86" s="43">
        <v>966</v>
      </c>
      <c r="AE86" s="97">
        <v>966</v>
      </c>
      <c r="AF86" s="43">
        <v>1378</v>
      </c>
      <c r="AG86" s="97">
        <v>1378</v>
      </c>
      <c r="AH86" s="43"/>
      <c r="AI86" s="97"/>
      <c r="AJ86" s="43"/>
      <c r="AK86" s="97"/>
      <c r="AL86" s="151"/>
      <c r="AM86" s="97"/>
      <c r="AN86" s="151"/>
      <c r="AO86" s="153"/>
      <c r="AP86" s="61">
        <f t="shared" si="16"/>
        <v>4268</v>
      </c>
      <c r="AQ86" s="75">
        <f t="shared" si="17"/>
        <v>4266</v>
      </c>
      <c r="AR86" s="150" t="s">
        <v>71</v>
      </c>
      <c r="AS86" s="149"/>
    </row>
    <row r="87" spans="1:45" x14ac:dyDescent="0.25">
      <c r="A87" s="4" t="s">
        <v>124</v>
      </c>
      <c r="B87" s="4" t="s">
        <v>130</v>
      </c>
      <c r="C87" s="5" t="s">
        <v>73</v>
      </c>
      <c r="D87" s="43"/>
      <c r="E87" s="97"/>
      <c r="F87" s="43"/>
      <c r="G87" s="97"/>
      <c r="H87" s="43"/>
      <c r="I87" s="97"/>
      <c r="J87" s="43"/>
      <c r="K87" s="97"/>
      <c r="L87" s="43"/>
      <c r="M87" s="97"/>
      <c r="N87" s="43"/>
      <c r="O87" s="97"/>
      <c r="P87" s="43"/>
      <c r="Q87" s="97"/>
      <c r="R87" s="43"/>
      <c r="S87" s="97"/>
      <c r="T87" s="43"/>
      <c r="U87" s="97"/>
      <c r="V87" s="43"/>
      <c r="W87" s="97"/>
      <c r="X87" s="43"/>
      <c r="Y87" s="97"/>
      <c r="Z87" s="61">
        <f t="shared" si="14"/>
        <v>0</v>
      </c>
      <c r="AA87" s="75">
        <f t="shared" si="15"/>
        <v>0</v>
      </c>
      <c r="AB87" s="43"/>
      <c r="AC87" s="97"/>
      <c r="AD87" s="43">
        <f>5884+1332</f>
        <v>7216</v>
      </c>
      <c r="AE87" s="97">
        <v>7216</v>
      </c>
      <c r="AF87" s="43"/>
      <c r="AG87" s="97"/>
      <c r="AH87" s="43"/>
      <c r="AI87" s="97"/>
      <c r="AJ87" s="43"/>
      <c r="AK87" s="97"/>
      <c r="AL87" s="151"/>
      <c r="AM87" s="97"/>
      <c r="AN87" s="151"/>
      <c r="AO87" s="153"/>
      <c r="AP87" s="61">
        <f t="shared" si="16"/>
        <v>7216</v>
      </c>
      <c r="AQ87" s="75">
        <f t="shared" si="17"/>
        <v>7216</v>
      </c>
      <c r="AR87" s="150" t="s">
        <v>58</v>
      </c>
      <c r="AS87" s="149"/>
    </row>
    <row r="88" spans="1:45" x14ac:dyDescent="0.25">
      <c r="A88" s="4" t="s">
        <v>124</v>
      </c>
      <c r="B88" s="4" t="s">
        <v>97</v>
      </c>
      <c r="C88" s="5" t="s">
        <v>96</v>
      </c>
      <c r="D88" s="43"/>
      <c r="E88" s="97"/>
      <c r="F88" s="43"/>
      <c r="G88" s="97"/>
      <c r="H88" s="43"/>
      <c r="I88" s="97"/>
      <c r="J88" s="43"/>
      <c r="K88" s="97"/>
      <c r="L88" s="43"/>
      <c r="M88" s="97"/>
      <c r="N88" s="43"/>
      <c r="O88" s="97"/>
      <c r="P88" s="43"/>
      <c r="Q88" s="97"/>
      <c r="R88" s="43">
        <v>7537</v>
      </c>
      <c r="S88" s="97">
        <v>7537</v>
      </c>
      <c r="T88" s="43"/>
      <c r="U88" s="97"/>
      <c r="V88" s="96">
        <v>11881</v>
      </c>
      <c r="W88" s="97">
        <v>7667</v>
      </c>
      <c r="X88" s="43"/>
      <c r="Y88" s="97"/>
      <c r="Z88" s="61">
        <f t="shared" si="14"/>
        <v>19418</v>
      </c>
      <c r="AA88" s="75">
        <f t="shared" si="15"/>
        <v>15204</v>
      </c>
      <c r="AB88" s="43"/>
      <c r="AC88" s="97"/>
      <c r="AD88" s="43"/>
      <c r="AE88" s="97"/>
      <c r="AF88" s="43"/>
      <c r="AG88" s="97"/>
      <c r="AH88" s="43"/>
      <c r="AI88" s="97"/>
      <c r="AJ88" s="43"/>
      <c r="AK88" s="97"/>
      <c r="AL88" s="151"/>
      <c r="AM88" s="97"/>
      <c r="AN88" s="151"/>
      <c r="AO88" s="153"/>
      <c r="AP88" s="61">
        <f t="shared" si="16"/>
        <v>19418</v>
      </c>
      <c r="AQ88" s="75">
        <f t="shared" si="17"/>
        <v>15204</v>
      </c>
      <c r="AR88" s="150" t="s">
        <v>128</v>
      </c>
      <c r="AS88" s="149"/>
    </row>
    <row r="89" spans="1:45" x14ac:dyDescent="0.25">
      <c r="A89" s="4" t="s">
        <v>124</v>
      </c>
      <c r="B89" s="4" t="s">
        <v>91</v>
      </c>
      <c r="C89" s="5" t="s">
        <v>86</v>
      </c>
      <c r="D89" s="96">
        <v>102800</v>
      </c>
      <c r="E89" s="97">
        <v>108576</v>
      </c>
      <c r="F89" s="43"/>
      <c r="G89" s="97"/>
      <c r="H89" s="43"/>
      <c r="I89" s="97"/>
      <c r="J89" s="43"/>
      <c r="K89" s="97"/>
      <c r="L89" s="43"/>
      <c r="M89" s="97"/>
      <c r="N89" s="43"/>
      <c r="O89" s="97"/>
      <c r="P89" s="43"/>
      <c r="Q89" s="97"/>
      <c r="R89" s="43"/>
      <c r="S89" s="97"/>
      <c r="T89" s="43"/>
      <c r="U89" s="97"/>
      <c r="V89" s="43"/>
      <c r="W89" s="97"/>
      <c r="X89" s="43"/>
      <c r="Y89" s="97"/>
      <c r="Z89" s="61">
        <f t="shared" si="14"/>
        <v>102800</v>
      </c>
      <c r="AA89" s="75">
        <f t="shared" si="15"/>
        <v>108576</v>
      </c>
      <c r="AB89" s="43"/>
      <c r="AC89" s="97"/>
      <c r="AD89" s="43"/>
      <c r="AE89" s="97"/>
      <c r="AF89" s="43"/>
      <c r="AG89" s="97"/>
      <c r="AH89" s="43"/>
      <c r="AI89" s="97"/>
      <c r="AJ89" s="43"/>
      <c r="AK89" s="97"/>
      <c r="AL89" s="151"/>
      <c r="AM89" s="97"/>
      <c r="AN89" s="151"/>
      <c r="AO89" s="153"/>
      <c r="AP89" s="61">
        <f t="shared" si="16"/>
        <v>102800</v>
      </c>
      <c r="AQ89" s="75">
        <f t="shared" si="17"/>
        <v>108576</v>
      </c>
      <c r="AR89" s="150" t="s">
        <v>128</v>
      </c>
      <c r="AS89" s="149"/>
    </row>
    <row r="90" spans="1:45" ht="26.25" x14ac:dyDescent="0.25">
      <c r="A90" s="4" t="s">
        <v>124</v>
      </c>
      <c r="B90" s="4" t="s">
        <v>92</v>
      </c>
      <c r="C90" s="5" t="s">
        <v>93</v>
      </c>
      <c r="D90" s="96">
        <v>5344</v>
      </c>
      <c r="E90" s="97">
        <v>6435</v>
      </c>
      <c r="F90" s="43"/>
      <c r="G90" s="97"/>
      <c r="H90" s="43"/>
      <c r="I90" s="97"/>
      <c r="J90" s="43"/>
      <c r="K90" s="97"/>
      <c r="L90" s="43"/>
      <c r="M90" s="97"/>
      <c r="N90" s="43"/>
      <c r="O90" s="97"/>
      <c r="P90" s="43"/>
      <c r="Q90" s="97"/>
      <c r="R90" s="43"/>
      <c r="S90" s="97"/>
      <c r="T90" s="43"/>
      <c r="U90" s="97"/>
      <c r="V90" s="43"/>
      <c r="W90" s="97"/>
      <c r="X90" s="43"/>
      <c r="Y90" s="97"/>
      <c r="Z90" s="61">
        <f t="shared" si="14"/>
        <v>5344</v>
      </c>
      <c r="AA90" s="75">
        <f t="shared" si="15"/>
        <v>6435</v>
      </c>
      <c r="AB90" s="43"/>
      <c r="AC90" s="97"/>
      <c r="AD90" s="43"/>
      <c r="AE90" s="97"/>
      <c r="AF90" s="43"/>
      <c r="AG90" s="97"/>
      <c r="AH90" s="43"/>
      <c r="AI90" s="97"/>
      <c r="AJ90" s="43"/>
      <c r="AK90" s="97"/>
      <c r="AL90" s="151"/>
      <c r="AM90" s="97"/>
      <c r="AN90" s="151"/>
      <c r="AO90" s="153"/>
      <c r="AP90" s="61">
        <f t="shared" si="16"/>
        <v>5344</v>
      </c>
      <c r="AQ90" s="75">
        <f t="shared" si="17"/>
        <v>6435</v>
      </c>
      <c r="AR90" s="150" t="s">
        <v>128</v>
      </c>
      <c r="AS90" s="149"/>
    </row>
    <row r="91" spans="1:45" ht="26.25" x14ac:dyDescent="0.25">
      <c r="A91" s="4" t="s">
        <v>124</v>
      </c>
      <c r="B91" s="4" t="s">
        <v>84</v>
      </c>
      <c r="C91" s="5" t="s">
        <v>82</v>
      </c>
      <c r="D91" s="96">
        <v>24312</v>
      </c>
      <c r="E91" s="97">
        <v>36752</v>
      </c>
      <c r="F91" s="43"/>
      <c r="G91" s="97"/>
      <c r="H91" s="43"/>
      <c r="I91" s="97"/>
      <c r="J91" s="43"/>
      <c r="K91" s="97"/>
      <c r="L91" s="43"/>
      <c r="M91" s="97"/>
      <c r="N91" s="43"/>
      <c r="O91" s="97"/>
      <c r="P91" s="43"/>
      <c r="Q91" s="97"/>
      <c r="R91" s="43"/>
      <c r="S91" s="97"/>
      <c r="T91" s="43"/>
      <c r="U91" s="97"/>
      <c r="V91" s="43"/>
      <c r="W91" s="97"/>
      <c r="X91" s="43"/>
      <c r="Y91" s="97"/>
      <c r="Z91" s="61">
        <f t="shared" si="14"/>
        <v>24312</v>
      </c>
      <c r="AA91" s="75">
        <f t="shared" si="15"/>
        <v>36752</v>
      </c>
      <c r="AB91" s="43"/>
      <c r="AC91" s="97"/>
      <c r="AD91" s="43"/>
      <c r="AE91" s="97"/>
      <c r="AF91" s="43"/>
      <c r="AG91" s="97"/>
      <c r="AH91" s="43"/>
      <c r="AI91" s="97"/>
      <c r="AJ91" s="43"/>
      <c r="AK91" s="97"/>
      <c r="AL91" s="151"/>
      <c r="AM91" s="97"/>
      <c r="AN91" s="151"/>
      <c r="AO91" s="153"/>
      <c r="AP91" s="61">
        <f t="shared" si="16"/>
        <v>24312</v>
      </c>
      <c r="AQ91" s="75">
        <f t="shared" si="17"/>
        <v>36752</v>
      </c>
      <c r="AR91" s="150" t="s">
        <v>128</v>
      </c>
      <c r="AS91" s="149"/>
    </row>
    <row r="92" spans="1:45" x14ac:dyDescent="0.25">
      <c r="A92" s="4" t="s">
        <v>124</v>
      </c>
      <c r="B92" s="4" t="s">
        <v>131</v>
      </c>
      <c r="C92" s="5" t="s">
        <v>67</v>
      </c>
      <c r="D92" s="43">
        <v>13163</v>
      </c>
      <c r="E92" s="97">
        <v>13511</v>
      </c>
      <c r="F92" s="43">
        <v>150</v>
      </c>
      <c r="G92" s="97">
        <v>234</v>
      </c>
      <c r="H92" s="43">
        <v>400</v>
      </c>
      <c r="I92" s="97">
        <v>400</v>
      </c>
      <c r="J92" s="43">
        <v>130</v>
      </c>
      <c r="K92" s="97">
        <v>130</v>
      </c>
      <c r="L92" s="43">
        <v>550</v>
      </c>
      <c r="M92" s="97">
        <v>550</v>
      </c>
      <c r="N92" s="43">
        <v>170</v>
      </c>
      <c r="O92" s="97">
        <v>170</v>
      </c>
      <c r="P92" s="43"/>
      <c r="Q92" s="97"/>
      <c r="R92" s="43">
        <v>250</v>
      </c>
      <c r="S92" s="97">
        <v>250</v>
      </c>
      <c r="T92" s="43"/>
      <c r="U92" s="97"/>
      <c r="V92" s="43"/>
      <c r="W92" s="97"/>
      <c r="X92" s="43"/>
      <c r="Y92" s="97"/>
      <c r="Z92" s="61">
        <f t="shared" si="14"/>
        <v>14813</v>
      </c>
      <c r="AA92" s="75">
        <f t="shared" si="15"/>
        <v>15245</v>
      </c>
      <c r="AB92" s="43"/>
      <c r="AC92" s="97"/>
      <c r="AD92" s="43">
        <v>1200</v>
      </c>
      <c r="AE92" s="97">
        <v>1000</v>
      </c>
      <c r="AF92" s="43">
        <v>2763</v>
      </c>
      <c r="AG92" s="97">
        <v>2500</v>
      </c>
      <c r="AH92" s="43"/>
      <c r="AI92" s="97"/>
      <c r="AJ92" s="43"/>
      <c r="AK92" s="97"/>
      <c r="AL92" s="151"/>
      <c r="AM92" s="97"/>
      <c r="AN92" s="151"/>
      <c r="AO92" s="153"/>
      <c r="AP92" s="61">
        <f t="shared" si="16"/>
        <v>18776</v>
      </c>
      <c r="AQ92" s="75">
        <f t="shared" si="17"/>
        <v>18745</v>
      </c>
      <c r="AR92" s="150" t="s">
        <v>68</v>
      </c>
      <c r="AS92" s="149"/>
    </row>
    <row r="93" spans="1:45" ht="30" x14ac:dyDescent="0.25">
      <c r="A93" s="4" t="s">
        <v>124</v>
      </c>
      <c r="B93" s="4" t="s">
        <v>100</v>
      </c>
      <c r="C93" s="5" t="s">
        <v>101</v>
      </c>
      <c r="D93" s="43"/>
      <c r="E93" s="97"/>
      <c r="F93" s="43"/>
      <c r="G93" s="97"/>
      <c r="H93" s="43"/>
      <c r="I93" s="97"/>
      <c r="J93" s="43"/>
      <c r="K93" s="97"/>
      <c r="L93" s="43"/>
      <c r="M93" s="97"/>
      <c r="N93" s="43"/>
      <c r="O93" s="97"/>
      <c r="P93" s="43"/>
      <c r="Q93" s="97"/>
      <c r="R93" s="43"/>
      <c r="S93" s="97"/>
      <c r="T93" s="43"/>
      <c r="U93" s="97"/>
      <c r="V93" s="43"/>
      <c r="W93" s="97"/>
      <c r="X93" s="43"/>
      <c r="Y93" s="97"/>
      <c r="Z93" s="61">
        <f t="shared" si="14"/>
        <v>0</v>
      </c>
      <c r="AA93" s="75">
        <f t="shared" si="15"/>
        <v>0</v>
      </c>
      <c r="AB93" s="43"/>
      <c r="AC93" s="97"/>
      <c r="AD93" s="43"/>
      <c r="AE93" s="97"/>
      <c r="AF93" s="43"/>
      <c r="AG93" s="97"/>
      <c r="AH93" s="43"/>
      <c r="AI93" s="97"/>
      <c r="AJ93" s="43"/>
      <c r="AK93" s="97"/>
      <c r="AL93" s="151">
        <v>13560</v>
      </c>
      <c r="AM93" s="97">
        <v>12000</v>
      </c>
      <c r="AN93" s="151"/>
      <c r="AO93" s="153"/>
      <c r="AP93" s="61">
        <f t="shared" si="16"/>
        <v>13560</v>
      </c>
      <c r="AQ93" s="75">
        <f t="shared" si="17"/>
        <v>12000</v>
      </c>
      <c r="AR93" s="150" t="s">
        <v>102</v>
      </c>
      <c r="AS93" s="149"/>
    </row>
    <row r="94" spans="1:45" x14ac:dyDescent="0.25">
      <c r="A94" s="4" t="s">
        <v>124</v>
      </c>
      <c r="B94" s="4" t="s">
        <v>105</v>
      </c>
      <c r="C94" s="5"/>
      <c r="D94" s="43">
        <v>7511</v>
      </c>
      <c r="E94" s="97">
        <v>7176</v>
      </c>
      <c r="F94" s="43"/>
      <c r="G94" s="97"/>
      <c r="H94" s="43"/>
      <c r="I94" s="97"/>
      <c r="J94" s="43"/>
      <c r="K94" s="97"/>
      <c r="L94" s="43"/>
      <c r="M94" s="97"/>
      <c r="N94" s="43"/>
      <c r="O94" s="97"/>
      <c r="P94" s="43"/>
      <c r="Q94" s="97"/>
      <c r="R94" s="43"/>
      <c r="S94" s="97"/>
      <c r="T94" s="43"/>
      <c r="U94" s="97"/>
      <c r="V94" s="43"/>
      <c r="W94" s="97"/>
      <c r="X94" s="43"/>
      <c r="Y94" s="97"/>
      <c r="Z94" s="61">
        <f t="shared" si="14"/>
        <v>7511</v>
      </c>
      <c r="AA94" s="75">
        <f t="shared" si="15"/>
        <v>7176</v>
      </c>
      <c r="AB94" s="43"/>
      <c r="AC94" s="97"/>
      <c r="AD94" s="43"/>
      <c r="AE94" s="97"/>
      <c r="AF94" s="43"/>
      <c r="AG94" s="97"/>
      <c r="AH94" s="43"/>
      <c r="AI94" s="97"/>
      <c r="AJ94" s="43"/>
      <c r="AK94" s="97"/>
      <c r="AL94" s="151"/>
      <c r="AM94" s="153"/>
      <c r="AN94" s="151"/>
      <c r="AO94" s="153"/>
      <c r="AP94" s="61">
        <f t="shared" si="16"/>
        <v>7511</v>
      </c>
      <c r="AQ94" s="75">
        <f t="shared" si="17"/>
        <v>7176</v>
      </c>
      <c r="AR94" s="150" t="s">
        <v>58</v>
      </c>
      <c r="AS94" s="149"/>
    </row>
    <row r="95" spans="1:45" x14ac:dyDescent="0.25">
      <c r="A95" s="4" t="s">
        <v>124</v>
      </c>
      <c r="B95" s="4" t="s">
        <v>106</v>
      </c>
      <c r="C95" s="5"/>
      <c r="D95" s="43">
        <v>5725</v>
      </c>
      <c r="E95" s="97">
        <v>5864</v>
      </c>
      <c r="F95" s="43"/>
      <c r="G95" s="97"/>
      <c r="H95" s="43"/>
      <c r="I95" s="97"/>
      <c r="J95" s="43"/>
      <c r="K95" s="97"/>
      <c r="L95" s="43"/>
      <c r="M95" s="97"/>
      <c r="N95" s="43"/>
      <c r="O95" s="97"/>
      <c r="P95" s="43"/>
      <c r="Q95" s="97"/>
      <c r="R95" s="43"/>
      <c r="S95" s="97"/>
      <c r="T95" s="43"/>
      <c r="U95" s="97"/>
      <c r="V95" s="43"/>
      <c r="W95" s="97"/>
      <c r="X95" s="43"/>
      <c r="Y95" s="97"/>
      <c r="Z95" s="61">
        <f t="shared" si="14"/>
        <v>5725</v>
      </c>
      <c r="AA95" s="75">
        <f t="shared" si="15"/>
        <v>5864</v>
      </c>
      <c r="AB95" s="43"/>
      <c r="AC95" s="97"/>
      <c r="AD95" s="43"/>
      <c r="AE95" s="97"/>
      <c r="AF95" s="43"/>
      <c r="AG95" s="97"/>
      <c r="AH95" s="43"/>
      <c r="AI95" s="97"/>
      <c r="AJ95" s="43"/>
      <c r="AK95" s="97"/>
      <c r="AL95" s="151"/>
      <c r="AM95" s="153"/>
      <c r="AN95" s="151"/>
      <c r="AO95" s="153"/>
      <c r="AP95" s="61">
        <f t="shared" si="16"/>
        <v>5725</v>
      </c>
      <c r="AQ95" s="75">
        <f t="shared" si="17"/>
        <v>5864</v>
      </c>
      <c r="AR95" s="150" t="s">
        <v>58</v>
      </c>
      <c r="AS95" s="98"/>
    </row>
    <row r="96" spans="1:45" x14ac:dyDescent="0.25">
      <c r="A96" s="16" t="s">
        <v>132</v>
      </c>
      <c r="B96" s="16" t="s">
        <v>108</v>
      </c>
      <c r="C96" s="17"/>
      <c r="D96" s="18">
        <f t="shared" ref="D96:AQ96" si="18">SUM(D71:D95)</f>
        <v>490481</v>
      </c>
      <c r="E96" s="105">
        <f t="shared" si="18"/>
        <v>499045</v>
      </c>
      <c r="F96" s="18">
        <f t="shared" si="18"/>
        <v>1984</v>
      </c>
      <c r="G96" s="18">
        <f t="shared" si="18"/>
        <v>1984</v>
      </c>
      <c r="H96" s="18">
        <f t="shared" si="18"/>
        <v>39784</v>
      </c>
      <c r="I96" s="18">
        <f t="shared" si="18"/>
        <v>39784</v>
      </c>
      <c r="J96" s="18">
        <f t="shared" si="18"/>
        <v>5396</v>
      </c>
      <c r="K96" s="18">
        <f t="shared" si="18"/>
        <v>5396</v>
      </c>
      <c r="L96" s="18">
        <f t="shared" si="18"/>
        <v>17510</v>
      </c>
      <c r="M96" s="18">
        <f t="shared" si="18"/>
        <v>17510</v>
      </c>
      <c r="N96" s="18">
        <f t="shared" si="18"/>
        <v>4436</v>
      </c>
      <c r="O96" s="18">
        <f t="shared" si="18"/>
        <v>4436</v>
      </c>
      <c r="P96" s="18">
        <f t="shared" si="18"/>
        <v>2700</v>
      </c>
      <c r="Q96" s="18">
        <f t="shared" si="18"/>
        <v>2700</v>
      </c>
      <c r="R96" s="18">
        <f t="shared" si="18"/>
        <v>13388</v>
      </c>
      <c r="S96" s="18">
        <f t="shared" si="18"/>
        <v>13388</v>
      </c>
      <c r="T96" s="18">
        <f t="shared" si="18"/>
        <v>21191</v>
      </c>
      <c r="U96" s="18">
        <f t="shared" si="18"/>
        <v>19220</v>
      </c>
      <c r="V96" s="18">
        <f t="shared" si="18"/>
        <v>11881</v>
      </c>
      <c r="W96" s="18">
        <f t="shared" si="18"/>
        <v>7667</v>
      </c>
      <c r="X96" s="18">
        <f t="shared" si="18"/>
        <v>0</v>
      </c>
      <c r="Y96" s="18">
        <f t="shared" si="18"/>
        <v>0</v>
      </c>
      <c r="Z96" s="18">
        <f t="shared" si="18"/>
        <v>608751</v>
      </c>
      <c r="AA96" s="18">
        <f t="shared" si="18"/>
        <v>611130</v>
      </c>
      <c r="AB96" s="18">
        <f t="shared" si="18"/>
        <v>110</v>
      </c>
      <c r="AC96" s="18">
        <f t="shared" si="18"/>
        <v>210</v>
      </c>
      <c r="AD96" s="18">
        <f t="shared" si="18"/>
        <v>117850</v>
      </c>
      <c r="AE96" s="18">
        <f t="shared" si="18"/>
        <v>108896</v>
      </c>
      <c r="AF96" s="18">
        <f t="shared" si="18"/>
        <v>22664</v>
      </c>
      <c r="AG96" s="18">
        <f t="shared" si="18"/>
        <v>24833</v>
      </c>
      <c r="AH96" s="18">
        <f t="shared" si="18"/>
        <v>2859</v>
      </c>
      <c r="AI96" s="18">
        <f t="shared" si="18"/>
        <v>3453</v>
      </c>
      <c r="AJ96" s="18">
        <f t="shared" si="18"/>
        <v>0</v>
      </c>
      <c r="AK96" s="18">
        <f t="shared" si="18"/>
        <v>0</v>
      </c>
      <c r="AL96" s="18">
        <f t="shared" si="18"/>
        <v>13560</v>
      </c>
      <c r="AM96" s="18">
        <f t="shared" si="18"/>
        <v>12000</v>
      </c>
      <c r="AN96" s="18">
        <f t="shared" si="18"/>
        <v>0</v>
      </c>
      <c r="AO96" s="18">
        <f t="shared" si="18"/>
        <v>2000</v>
      </c>
      <c r="AP96" s="18">
        <f t="shared" si="18"/>
        <v>765794</v>
      </c>
      <c r="AQ96" s="18">
        <f t="shared" si="18"/>
        <v>762522</v>
      </c>
      <c r="AR96" s="150"/>
      <c r="AS96" s="149"/>
    </row>
    <row r="97" spans="1:44" x14ac:dyDescent="0.25">
      <c r="A97" s="4" t="s">
        <v>133</v>
      </c>
      <c r="B97" s="4" t="s">
        <v>56</v>
      </c>
      <c r="C97" s="5" t="s">
        <v>57</v>
      </c>
      <c r="D97" s="151">
        <v>51639</v>
      </c>
      <c r="E97" s="153">
        <v>58952</v>
      </c>
      <c r="F97" s="151">
        <v>1272</v>
      </c>
      <c r="G97" s="153">
        <v>750</v>
      </c>
      <c r="H97" s="151">
        <v>1825</v>
      </c>
      <c r="I97" s="153">
        <v>1580</v>
      </c>
      <c r="J97" s="151">
        <v>152</v>
      </c>
      <c r="K97" s="153">
        <v>140</v>
      </c>
      <c r="L97" s="151">
        <v>1191</v>
      </c>
      <c r="M97" s="153">
        <v>1575</v>
      </c>
      <c r="N97" s="151">
        <v>223</v>
      </c>
      <c r="O97" s="153">
        <v>270</v>
      </c>
      <c r="P97" s="151"/>
      <c r="Q97" s="153"/>
      <c r="R97" s="151">
        <v>3381</v>
      </c>
      <c r="S97" s="153">
        <v>1300</v>
      </c>
      <c r="T97" s="151"/>
      <c r="U97" s="153"/>
      <c r="V97" s="151"/>
      <c r="W97" s="153"/>
      <c r="X97" s="151">
        <v>893</v>
      </c>
      <c r="Y97" s="153">
        <v>890</v>
      </c>
      <c r="Z97" s="61">
        <f t="shared" ref="Z97:Z127" si="19">D97+F97+H97+J97+L97+P97+R97+T97+V97+X97+N97</f>
        <v>60576</v>
      </c>
      <c r="AA97" s="75">
        <f t="shared" ref="AA97:AA127" si="20">E97+G97+I97+K97+M97+Q97+S97+U97+W97+Y97+O97</f>
        <v>65457</v>
      </c>
      <c r="AB97" s="151">
        <v>15</v>
      </c>
      <c r="AC97" s="153">
        <v>15</v>
      </c>
      <c r="AD97" s="151">
        <v>7036</v>
      </c>
      <c r="AE97" s="153">
        <v>5500</v>
      </c>
      <c r="AF97" s="151">
        <v>3026</v>
      </c>
      <c r="AG97" s="153">
        <v>2500</v>
      </c>
      <c r="AH97" s="151"/>
      <c r="AI97" s="153"/>
      <c r="AJ97" s="151"/>
      <c r="AK97" s="153"/>
      <c r="AL97" s="151"/>
      <c r="AM97" s="153"/>
      <c r="AN97" s="151"/>
      <c r="AO97" s="153"/>
      <c r="AP97" s="61">
        <f t="shared" ref="AP97:AP127" si="21">Z97+AB97+AD97+AF97+AH97+AJ97+AL97+AN97</f>
        <v>70653</v>
      </c>
      <c r="AQ97" s="75">
        <f t="shared" ref="AQ97:AQ127" si="22">AA97+AC97+AE97+AG97+AI97+AK97+AM97+AO97</f>
        <v>73472</v>
      </c>
      <c r="AR97" s="150" t="s">
        <v>58</v>
      </c>
    </row>
    <row r="98" spans="1:44" x14ac:dyDescent="0.25">
      <c r="A98" s="4" t="s">
        <v>133</v>
      </c>
      <c r="B98" s="4" t="s">
        <v>98</v>
      </c>
      <c r="C98" s="5" t="s">
        <v>99</v>
      </c>
      <c r="D98" s="151"/>
      <c r="E98" s="153"/>
      <c r="F98" s="151">
        <v>51</v>
      </c>
      <c r="G98" s="153">
        <v>51</v>
      </c>
      <c r="H98" s="151"/>
      <c r="I98" s="153"/>
      <c r="J98" s="151"/>
      <c r="K98" s="153"/>
      <c r="L98" s="151"/>
      <c r="M98" s="153"/>
      <c r="N98" s="151"/>
      <c r="O98" s="153"/>
      <c r="P98" s="151"/>
      <c r="Q98" s="153"/>
      <c r="R98" s="151">
        <v>708</v>
      </c>
      <c r="S98" s="153">
        <v>700</v>
      </c>
      <c r="T98" s="151"/>
      <c r="U98" s="153"/>
      <c r="V98" s="151"/>
      <c r="W98" s="153"/>
      <c r="X98" s="151"/>
      <c r="Y98" s="153"/>
      <c r="Z98" s="61">
        <f t="shared" si="19"/>
        <v>759</v>
      </c>
      <c r="AA98" s="75">
        <f t="shared" si="20"/>
        <v>751</v>
      </c>
      <c r="AB98" s="151"/>
      <c r="AC98" s="153"/>
      <c r="AD98" s="151">
        <v>108</v>
      </c>
      <c r="AE98" s="153">
        <v>100</v>
      </c>
      <c r="AF98" s="151">
        <v>15</v>
      </c>
      <c r="AG98" s="153">
        <v>15</v>
      </c>
      <c r="AH98" s="151"/>
      <c r="AI98" s="153"/>
      <c r="AJ98" s="151"/>
      <c r="AK98" s="153"/>
      <c r="AL98" s="151"/>
      <c r="AM98" s="153"/>
      <c r="AN98" s="151"/>
      <c r="AO98" s="153"/>
      <c r="AP98" s="61">
        <f t="shared" si="21"/>
        <v>882</v>
      </c>
      <c r="AQ98" s="75">
        <f t="shared" si="22"/>
        <v>866</v>
      </c>
      <c r="AR98" s="150" t="s">
        <v>58</v>
      </c>
    </row>
    <row r="99" spans="1:44" ht="26.25" x14ac:dyDescent="0.25">
      <c r="A99" s="4" t="s">
        <v>133</v>
      </c>
      <c r="B99" s="4" t="s">
        <v>134</v>
      </c>
      <c r="C99" s="5" t="s">
        <v>60</v>
      </c>
      <c r="D99" s="151">
        <v>119618</v>
      </c>
      <c r="E99" s="153">
        <v>147018</v>
      </c>
      <c r="F99" s="151">
        <v>28</v>
      </c>
      <c r="G99" s="153">
        <v>168</v>
      </c>
      <c r="H99" s="151">
        <v>7723</v>
      </c>
      <c r="I99" s="153">
        <v>8200</v>
      </c>
      <c r="J99" s="151">
        <v>285</v>
      </c>
      <c r="K99" s="153">
        <v>444</v>
      </c>
      <c r="L99" s="151">
        <v>348</v>
      </c>
      <c r="M99" s="153">
        <v>700</v>
      </c>
      <c r="N99" s="151">
        <v>959</v>
      </c>
      <c r="O99" s="153">
        <v>580</v>
      </c>
      <c r="P99" s="151"/>
      <c r="Q99" s="153"/>
      <c r="R99" s="151">
        <v>4130</v>
      </c>
      <c r="S99" s="153">
        <v>4200</v>
      </c>
      <c r="T99" s="151"/>
      <c r="U99" s="153"/>
      <c r="V99" s="151"/>
      <c r="W99" s="153"/>
      <c r="X99" s="151"/>
      <c r="Y99" s="153"/>
      <c r="Z99" s="61">
        <f t="shared" si="19"/>
        <v>133091</v>
      </c>
      <c r="AA99" s="75">
        <f t="shared" si="20"/>
        <v>161310</v>
      </c>
      <c r="AB99" s="151"/>
      <c r="AC99" s="153"/>
      <c r="AD99" s="151">
        <v>7635</v>
      </c>
      <c r="AE99" s="153">
        <v>7000</v>
      </c>
      <c r="AF99" s="151">
        <v>3270</v>
      </c>
      <c r="AG99" s="153">
        <v>3100</v>
      </c>
      <c r="AH99" s="151"/>
      <c r="AI99" s="153"/>
      <c r="AJ99" s="151"/>
      <c r="AK99" s="153"/>
      <c r="AL99" s="151"/>
      <c r="AM99" s="153"/>
      <c r="AN99" s="151"/>
      <c r="AO99" s="153"/>
      <c r="AP99" s="61">
        <f t="shared" si="21"/>
        <v>143996</v>
      </c>
      <c r="AQ99" s="75">
        <f t="shared" si="22"/>
        <v>171410</v>
      </c>
      <c r="AR99" s="150" t="s">
        <v>61</v>
      </c>
    </row>
    <row r="100" spans="1:44" ht="26.25" x14ac:dyDescent="0.25">
      <c r="A100" s="4" t="s">
        <v>133</v>
      </c>
      <c r="B100" s="4" t="s">
        <v>62</v>
      </c>
      <c r="C100" s="5" t="s">
        <v>60</v>
      </c>
      <c r="D100" s="151"/>
      <c r="E100" s="153"/>
      <c r="F100" s="151"/>
      <c r="G100" s="153"/>
      <c r="H100" s="151"/>
      <c r="I100" s="153"/>
      <c r="J100" s="151"/>
      <c r="K100" s="153"/>
      <c r="L100" s="151"/>
      <c r="M100" s="153"/>
      <c r="N100" s="151"/>
      <c r="O100" s="153"/>
      <c r="P100" s="151"/>
      <c r="Q100" s="153"/>
      <c r="R100" s="151"/>
      <c r="S100" s="153"/>
      <c r="T100" s="151"/>
      <c r="U100" s="153"/>
      <c r="V100" s="151"/>
      <c r="W100" s="153"/>
      <c r="X100" s="151"/>
      <c r="Y100" s="153"/>
      <c r="Z100" s="61">
        <f t="shared" si="19"/>
        <v>0</v>
      </c>
      <c r="AA100" s="75">
        <f t="shared" si="20"/>
        <v>0</v>
      </c>
      <c r="AB100" s="151"/>
      <c r="AC100" s="153"/>
      <c r="AD100" s="151">
        <v>5000</v>
      </c>
      <c r="AE100" s="153">
        <f>15819-AG100</f>
        <v>5000</v>
      </c>
      <c r="AF100" s="151">
        <v>10065</v>
      </c>
      <c r="AG100" s="153">
        <v>10819</v>
      </c>
      <c r="AH100" s="151"/>
      <c r="AI100" s="153"/>
      <c r="AJ100" s="151"/>
      <c r="AK100" s="153"/>
      <c r="AL100" s="151"/>
      <c r="AM100" s="153"/>
      <c r="AN100" s="151"/>
      <c r="AO100" s="153"/>
      <c r="AP100" s="61">
        <f t="shared" si="21"/>
        <v>15065</v>
      </c>
      <c r="AQ100" s="75">
        <f t="shared" si="22"/>
        <v>15819</v>
      </c>
      <c r="AR100" s="150" t="s">
        <v>63</v>
      </c>
    </row>
    <row r="101" spans="1:44" x14ac:dyDescent="0.25">
      <c r="A101" s="4" t="s">
        <v>133</v>
      </c>
      <c r="B101" s="4" t="s">
        <v>64</v>
      </c>
      <c r="C101" s="5" t="s">
        <v>60</v>
      </c>
      <c r="D101" s="151"/>
      <c r="E101" s="153"/>
      <c r="F101" s="151"/>
      <c r="G101" s="153"/>
      <c r="H101" s="151"/>
      <c r="I101" s="153"/>
      <c r="J101" s="151"/>
      <c r="K101" s="153"/>
      <c r="L101" s="151"/>
      <c r="M101" s="153"/>
      <c r="N101" s="151"/>
      <c r="O101" s="153"/>
      <c r="P101" s="151"/>
      <c r="Q101" s="153"/>
      <c r="R101" s="151"/>
      <c r="S101" s="153"/>
      <c r="T101" s="151"/>
      <c r="U101" s="153"/>
      <c r="V101" s="151"/>
      <c r="W101" s="153"/>
      <c r="X101" s="151"/>
      <c r="Y101" s="153"/>
      <c r="Z101" s="61">
        <f t="shared" si="19"/>
        <v>0</v>
      </c>
      <c r="AA101" s="75">
        <f t="shared" si="20"/>
        <v>0</v>
      </c>
      <c r="AB101" s="151"/>
      <c r="AC101" s="153"/>
      <c r="AD101" s="151">
        <v>20116</v>
      </c>
      <c r="AE101" s="153">
        <f>24375-AG101</f>
        <v>5000</v>
      </c>
      <c r="AF101" s="151">
        <v>4000</v>
      </c>
      <c r="AG101" s="153">
        <v>19375</v>
      </c>
      <c r="AH101" s="151"/>
      <c r="AI101" s="153"/>
      <c r="AJ101" s="151"/>
      <c r="AK101" s="153"/>
      <c r="AL101" s="151"/>
      <c r="AM101" s="153"/>
      <c r="AN101" s="151"/>
      <c r="AO101" s="153"/>
      <c r="AP101" s="61">
        <f t="shared" si="21"/>
        <v>24116</v>
      </c>
      <c r="AQ101" s="75">
        <f t="shared" si="22"/>
        <v>24375</v>
      </c>
      <c r="AR101" s="150" t="s">
        <v>63</v>
      </c>
    </row>
    <row r="102" spans="1:44" x14ac:dyDescent="0.25">
      <c r="A102" s="4" t="s">
        <v>133</v>
      </c>
      <c r="B102" s="4" t="s">
        <v>135</v>
      </c>
      <c r="C102" s="5" t="s">
        <v>73</v>
      </c>
      <c r="D102" s="151">
        <v>9485</v>
      </c>
      <c r="E102" s="153">
        <v>10115</v>
      </c>
      <c r="F102" s="151">
        <v>87</v>
      </c>
      <c r="G102" s="153">
        <v>80</v>
      </c>
      <c r="H102" s="151"/>
      <c r="I102" s="153"/>
      <c r="J102" s="151"/>
      <c r="K102" s="153"/>
      <c r="L102" s="151">
        <v>378</v>
      </c>
      <c r="M102" s="153">
        <v>380</v>
      </c>
      <c r="N102" s="151">
        <v>62</v>
      </c>
      <c r="O102" s="153">
        <v>60</v>
      </c>
      <c r="P102" s="151">
        <v>537</v>
      </c>
      <c r="Q102" s="153">
        <v>540</v>
      </c>
      <c r="R102" s="151"/>
      <c r="S102" s="153"/>
      <c r="T102" s="151"/>
      <c r="U102" s="153"/>
      <c r="V102" s="151"/>
      <c r="W102" s="153"/>
      <c r="X102" s="151"/>
      <c r="Y102" s="153"/>
      <c r="Z102" s="61">
        <f t="shared" si="19"/>
        <v>10549</v>
      </c>
      <c r="AA102" s="75">
        <f t="shared" si="20"/>
        <v>11175</v>
      </c>
      <c r="AB102" s="151">
        <v>33</v>
      </c>
      <c r="AC102" s="153">
        <v>33</v>
      </c>
      <c r="AD102" s="151">
        <v>527</v>
      </c>
      <c r="AE102" s="153">
        <v>520</v>
      </c>
      <c r="AF102" s="151">
        <v>625</v>
      </c>
      <c r="AG102" s="153">
        <v>590</v>
      </c>
      <c r="AH102" s="151">
        <f>500+508</f>
        <v>1008</v>
      </c>
      <c r="AI102" s="153">
        <v>1276</v>
      </c>
      <c r="AJ102" s="151"/>
      <c r="AK102" s="153"/>
      <c r="AL102" s="151"/>
      <c r="AM102" s="153"/>
      <c r="AN102" s="151"/>
      <c r="AO102" s="153"/>
      <c r="AP102" s="61">
        <f t="shared" si="21"/>
        <v>12742</v>
      </c>
      <c r="AQ102" s="75">
        <f t="shared" si="22"/>
        <v>13594</v>
      </c>
      <c r="AR102" s="150" t="s">
        <v>74</v>
      </c>
    </row>
    <row r="103" spans="1:44" x14ac:dyDescent="0.25">
      <c r="A103" s="4" t="s">
        <v>133</v>
      </c>
      <c r="B103" s="4" t="s">
        <v>136</v>
      </c>
      <c r="C103" s="5" t="s">
        <v>73</v>
      </c>
      <c r="D103" s="151">
        <v>5912</v>
      </c>
      <c r="E103" s="153">
        <v>6407</v>
      </c>
      <c r="F103" s="151">
        <v>57</v>
      </c>
      <c r="G103" s="153">
        <v>80</v>
      </c>
      <c r="H103" s="151">
        <v>569</v>
      </c>
      <c r="I103" s="153">
        <v>540</v>
      </c>
      <c r="J103" s="151">
        <v>8</v>
      </c>
      <c r="K103" s="153">
        <v>8</v>
      </c>
      <c r="L103" s="151">
        <v>263</v>
      </c>
      <c r="M103" s="153">
        <v>220</v>
      </c>
      <c r="N103" s="151">
        <v>28</v>
      </c>
      <c r="O103" s="153">
        <v>30</v>
      </c>
      <c r="P103" s="151"/>
      <c r="Q103" s="153"/>
      <c r="R103" s="151"/>
      <c r="S103" s="153"/>
      <c r="T103" s="151"/>
      <c r="U103" s="153"/>
      <c r="V103" s="151"/>
      <c r="W103" s="153"/>
      <c r="X103" s="151"/>
      <c r="Y103" s="153"/>
      <c r="Z103" s="61">
        <f t="shared" si="19"/>
        <v>6837</v>
      </c>
      <c r="AA103" s="75">
        <f t="shared" si="20"/>
        <v>7285</v>
      </c>
      <c r="AB103" s="151">
        <v>33</v>
      </c>
      <c r="AC103" s="153">
        <v>33</v>
      </c>
      <c r="AD103" s="151">
        <v>340</v>
      </c>
      <c r="AE103" s="153">
        <v>320</v>
      </c>
      <c r="AF103" s="151">
        <v>370</v>
      </c>
      <c r="AG103" s="153">
        <v>350</v>
      </c>
      <c r="AH103" s="151">
        <f>550+800</f>
        <v>1350</v>
      </c>
      <c r="AI103" s="153">
        <v>994</v>
      </c>
      <c r="AJ103" s="151"/>
      <c r="AK103" s="153"/>
      <c r="AL103" s="151"/>
      <c r="AM103" s="153"/>
      <c r="AN103" s="151"/>
      <c r="AO103" s="153"/>
      <c r="AP103" s="61">
        <f t="shared" si="21"/>
        <v>8930</v>
      </c>
      <c r="AQ103" s="75">
        <f t="shared" si="22"/>
        <v>8982</v>
      </c>
      <c r="AR103" s="150" t="s">
        <v>74</v>
      </c>
    </row>
    <row r="104" spans="1:44" x14ac:dyDescent="0.25">
      <c r="A104" s="4" t="s">
        <v>133</v>
      </c>
      <c r="B104" s="4" t="s">
        <v>77</v>
      </c>
      <c r="C104" s="5" t="s">
        <v>73</v>
      </c>
      <c r="D104" s="151">
        <v>20847</v>
      </c>
      <c r="E104" s="153">
        <v>20941</v>
      </c>
      <c r="F104" s="151">
        <v>84</v>
      </c>
      <c r="G104" s="153">
        <v>25</v>
      </c>
      <c r="H104" s="151">
        <v>3453</v>
      </c>
      <c r="I104" s="153">
        <v>2700</v>
      </c>
      <c r="J104" s="151">
        <v>65</v>
      </c>
      <c r="K104" s="153">
        <v>600</v>
      </c>
      <c r="L104" s="151">
        <v>2451</v>
      </c>
      <c r="M104" s="153">
        <v>2400</v>
      </c>
      <c r="N104" s="151">
        <v>158</v>
      </c>
      <c r="O104" s="153">
        <v>170</v>
      </c>
      <c r="P104" s="151"/>
      <c r="Q104" s="153"/>
      <c r="R104" s="151">
        <v>766</v>
      </c>
      <c r="S104" s="153">
        <v>600</v>
      </c>
      <c r="T104" s="151"/>
      <c r="U104" s="153"/>
      <c r="V104" s="151"/>
      <c r="W104" s="153"/>
      <c r="X104" s="151"/>
      <c r="Y104" s="153"/>
      <c r="Z104" s="61">
        <f t="shared" si="19"/>
        <v>27824</v>
      </c>
      <c r="AA104" s="75">
        <f t="shared" si="20"/>
        <v>27436</v>
      </c>
      <c r="AB104" s="151"/>
      <c r="AC104" s="153"/>
      <c r="AD104" s="151">
        <v>6940</v>
      </c>
      <c r="AE104" s="153">
        <v>4000</v>
      </c>
      <c r="AF104" s="151">
        <v>2888</v>
      </c>
      <c r="AG104" s="153">
        <v>2000</v>
      </c>
      <c r="AH104" s="151"/>
      <c r="AI104" s="153"/>
      <c r="AJ104" s="151"/>
      <c r="AK104" s="153"/>
      <c r="AL104" s="151"/>
      <c r="AM104" s="153"/>
      <c r="AN104" s="151"/>
      <c r="AO104" s="153"/>
      <c r="AP104" s="61">
        <f t="shared" si="21"/>
        <v>37652</v>
      </c>
      <c r="AQ104" s="75">
        <f t="shared" si="22"/>
        <v>33436</v>
      </c>
      <c r="AR104" s="150" t="s">
        <v>74</v>
      </c>
    </row>
    <row r="105" spans="1:44" x14ac:dyDescent="0.25">
      <c r="A105" s="4" t="s">
        <v>133</v>
      </c>
      <c r="B105" s="4" t="s">
        <v>137</v>
      </c>
      <c r="C105" s="5" t="s">
        <v>73</v>
      </c>
      <c r="D105" s="151"/>
      <c r="E105" s="153"/>
      <c r="F105" s="151"/>
      <c r="G105" s="153"/>
      <c r="H105" s="151"/>
      <c r="I105" s="153"/>
      <c r="J105" s="151"/>
      <c r="K105" s="153"/>
      <c r="L105" s="151">
        <v>38</v>
      </c>
      <c r="M105" s="153">
        <v>33</v>
      </c>
      <c r="N105" s="151"/>
      <c r="O105" s="153"/>
      <c r="P105" s="151">
        <v>459</v>
      </c>
      <c r="Q105" s="153">
        <v>250</v>
      </c>
      <c r="R105" s="151"/>
      <c r="S105" s="153"/>
      <c r="T105" s="151"/>
      <c r="U105" s="153"/>
      <c r="V105" s="151"/>
      <c r="W105" s="153"/>
      <c r="X105" s="151"/>
      <c r="Y105" s="153"/>
      <c r="Z105" s="61">
        <f t="shared" si="19"/>
        <v>497</v>
      </c>
      <c r="AA105" s="75">
        <f t="shared" si="20"/>
        <v>283</v>
      </c>
      <c r="AB105" s="151"/>
      <c r="AC105" s="153"/>
      <c r="AD105" s="151">
        <v>3457</v>
      </c>
      <c r="AE105" s="153">
        <v>2000</v>
      </c>
      <c r="AF105" s="151">
        <v>550</v>
      </c>
      <c r="AG105" s="153">
        <v>300</v>
      </c>
      <c r="AH105" s="151"/>
      <c r="AI105" s="153"/>
      <c r="AJ105" s="151"/>
      <c r="AK105" s="153"/>
      <c r="AL105" s="151"/>
      <c r="AM105" s="153"/>
      <c r="AN105" s="151"/>
      <c r="AO105" s="153"/>
      <c r="AP105" s="61">
        <f t="shared" si="21"/>
        <v>4504</v>
      </c>
      <c r="AQ105" s="75">
        <f t="shared" si="22"/>
        <v>2583</v>
      </c>
      <c r="AR105" s="150" t="s">
        <v>74</v>
      </c>
    </row>
    <row r="106" spans="1:44" x14ac:dyDescent="0.25">
      <c r="A106" s="4" t="s">
        <v>133</v>
      </c>
      <c r="B106" s="4" t="s">
        <v>138</v>
      </c>
      <c r="C106" s="5" t="s">
        <v>82</v>
      </c>
      <c r="D106" s="151">
        <v>25925</v>
      </c>
      <c r="E106" s="153">
        <v>31975</v>
      </c>
      <c r="F106" s="151">
        <v>280</v>
      </c>
      <c r="G106" s="153">
        <v>320</v>
      </c>
      <c r="H106" s="151">
        <v>3622</v>
      </c>
      <c r="I106" s="153">
        <v>3300</v>
      </c>
      <c r="J106" s="151">
        <v>839</v>
      </c>
      <c r="K106" s="153">
        <v>1030</v>
      </c>
      <c r="L106" s="151">
        <v>2731</v>
      </c>
      <c r="M106" s="153">
        <v>2700</v>
      </c>
      <c r="N106" s="151">
        <v>146</v>
      </c>
      <c r="O106" s="153">
        <v>150</v>
      </c>
      <c r="P106" s="151"/>
      <c r="Q106" s="153"/>
      <c r="R106" s="151">
        <v>1418</v>
      </c>
      <c r="S106" s="153">
        <v>1400</v>
      </c>
      <c r="T106" s="151">
        <v>6018</v>
      </c>
      <c r="U106" s="153">
        <v>5863</v>
      </c>
      <c r="V106" s="151"/>
      <c r="W106" s="153"/>
      <c r="X106" s="151"/>
      <c r="Y106" s="153"/>
      <c r="Z106" s="61">
        <f t="shared" si="19"/>
        <v>40979</v>
      </c>
      <c r="AA106" s="75">
        <f t="shared" si="20"/>
        <v>46738</v>
      </c>
      <c r="AB106" s="151">
        <v>15</v>
      </c>
      <c r="AC106" s="153">
        <v>15</v>
      </c>
      <c r="AD106" s="151">
        <v>4157</v>
      </c>
      <c r="AE106" s="153">
        <v>3600</v>
      </c>
      <c r="AF106" s="151">
        <v>5097</v>
      </c>
      <c r="AG106" s="153">
        <v>4500</v>
      </c>
      <c r="AH106" s="151"/>
      <c r="AI106" s="153"/>
      <c r="AJ106" s="151"/>
      <c r="AK106" s="153"/>
      <c r="AL106" s="151"/>
      <c r="AM106" s="153"/>
      <c r="AN106" s="151"/>
      <c r="AO106" s="153"/>
      <c r="AP106" s="61">
        <f t="shared" si="21"/>
        <v>50248</v>
      </c>
      <c r="AQ106" s="75">
        <f t="shared" si="22"/>
        <v>54853</v>
      </c>
      <c r="AR106" s="150" t="s">
        <v>128</v>
      </c>
    </row>
    <row r="107" spans="1:44" x14ac:dyDescent="0.25">
      <c r="A107" s="4" t="s">
        <v>133</v>
      </c>
      <c r="B107" s="4" t="s">
        <v>90</v>
      </c>
      <c r="C107" s="5" t="s">
        <v>86</v>
      </c>
      <c r="D107" s="151"/>
      <c r="E107" s="153"/>
      <c r="F107" s="151"/>
      <c r="G107" s="153"/>
      <c r="H107" s="151"/>
      <c r="I107" s="153"/>
      <c r="J107" s="151"/>
      <c r="K107" s="153"/>
      <c r="L107" s="151"/>
      <c r="M107" s="153"/>
      <c r="N107" s="151"/>
      <c r="O107" s="153"/>
      <c r="P107" s="151"/>
      <c r="Q107" s="153"/>
      <c r="R107" s="151"/>
      <c r="S107" s="153"/>
      <c r="T107" s="151">
        <v>234</v>
      </c>
      <c r="U107" s="153">
        <v>234</v>
      </c>
      <c r="V107" s="151"/>
      <c r="W107" s="153"/>
      <c r="X107" s="151"/>
      <c r="Y107" s="153"/>
      <c r="Z107" s="61">
        <f t="shared" si="19"/>
        <v>234</v>
      </c>
      <c r="AA107" s="75">
        <f t="shared" si="20"/>
        <v>234</v>
      </c>
      <c r="AB107" s="151"/>
      <c r="AC107" s="153"/>
      <c r="AD107" s="151"/>
      <c r="AE107" s="153"/>
      <c r="AF107" s="151"/>
      <c r="AG107" s="153"/>
      <c r="AH107" s="151"/>
      <c r="AI107" s="153"/>
      <c r="AJ107" s="151"/>
      <c r="AK107" s="153"/>
      <c r="AL107" s="151"/>
      <c r="AM107" s="153"/>
      <c r="AN107" s="151"/>
      <c r="AO107" s="153"/>
      <c r="AP107" s="61">
        <f t="shared" si="21"/>
        <v>234</v>
      </c>
      <c r="AQ107" s="75">
        <f t="shared" si="22"/>
        <v>234</v>
      </c>
      <c r="AR107" s="150" t="s">
        <v>139</v>
      </c>
    </row>
    <row r="108" spans="1:44" ht="26.25" x14ac:dyDescent="0.25">
      <c r="A108" s="4" t="s">
        <v>133</v>
      </c>
      <c r="B108" s="4" t="s">
        <v>83</v>
      </c>
      <c r="C108" s="5" t="s">
        <v>82</v>
      </c>
      <c r="D108" s="151">
        <f>25761+463</f>
        <v>26224</v>
      </c>
      <c r="E108" s="153">
        <v>29375</v>
      </c>
      <c r="F108" s="151"/>
      <c r="G108" s="153"/>
      <c r="H108" s="151"/>
      <c r="I108" s="153"/>
      <c r="J108" s="151"/>
      <c r="K108" s="153"/>
      <c r="L108" s="151"/>
      <c r="M108" s="153"/>
      <c r="N108" s="151"/>
      <c r="O108" s="153"/>
      <c r="P108" s="151"/>
      <c r="Q108" s="153"/>
      <c r="R108" s="151"/>
      <c r="S108" s="153"/>
      <c r="T108" s="151"/>
      <c r="U108" s="153"/>
      <c r="V108" s="151"/>
      <c r="W108" s="153"/>
      <c r="X108" s="151"/>
      <c r="Y108" s="153"/>
      <c r="Z108" s="61">
        <f t="shared" si="19"/>
        <v>26224</v>
      </c>
      <c r="AA108" s="75">
        <f t="shared" si="20"/>
        <v>29375</v>
      </c>
      <c r="AB108" s="151"/>
      <c r="AC108" s="153"/>
      <c r="AD108" s="151"/>
      <c r="AE108" s="153"/>
      <c r="AF108" s="151"/>
      <c r="AG108" s="153"/>
      <c r="AH108" s="151"/>
      <c r="AI108" s="153"/>
      <c r="AJ108" s="151"/>
      <c r="AK108" s="153"/>
      <c r="AL108" s="151"/>
      <c r="AM108" s="153"/>
      <c r="AN108" s="151"/>
      <c r="AO108" s="153"/>
      <c r="AP108" s="61">
        <f t="shared" si="21"/>
        <v>26224</v>
      </c>
      <c r="AQ108" s="75">
        <f t="shared" si="22"/>
        <v>29375</v>
      </c>
      <c r="AR108" s="150" t="s">
        <v>140</v>
      </c>
    </row>
    <row r="109" spans="1:44" x14ac:dyDescent="0.25">
      <c r="A109" s="4" t="s">
        <v>133</v>
      </c>
      <c r="B109" s="4" t="s">
        <v>85</v>
      </c>
      <c r="C109" s="5" t="s">
        <v>86</v>
      </c>
      <c r="D109" s="151">
        <v>9843</v>
      </c>
      <c r="E109" s="153">
        <v>10189</v>
      </c>
      <c r="F109" s="151">
        <v>852</v>
      </c>
      <c r="G109" s="153">
        <v>350</v>
      </c>
      <c r="H109" s="151"/>
      <c r="I109" s="153">
        <v>7600</v>
      </c>
      <c r="J109" s="151">
        <v>828</v>
      </c>
      <c r="K109" s="153">
        <v>800</v>
      </c>
      <c r="L109" s="151">
        <v>6394</v>
      </c>
      <c r="M109" s="153">
        <v>5400</v>
      </c>
      <c r="N109" s="151">
        <v>515</v>
      </c>
      <c r="O109" s="153">
        <v>530</v>
      </c>
      <c r="P109" s="151">
        <v>2289</v>
      </c>
      <c r="Q109" s="153"/>
      <c r="R109" s="151">
        <v>700</v>
      </c>
      <c r="S109" s="153">
        <v>500</v>
      </c>
      <c r="T109" s="151">
        <v>2331</v>
      </c>
      <c r="U109" s="153">
        <v>2883</v>
      </c>
      <c r="V109" s="151"/>
      <c r="W109" s="153"/>
      <c r="X109" s="151"/>
      <c r="Y109" s="153"/>
      <c r="Z109" s="61">
        <f t="shared" si="19"/>
        <v>23752</v>
      </c>
      <c r="AA109" s="75">
        <f t="shared" si="20"/>
        <v>28252</v>
      </c>
      <c r="AB109" s="151">
        <v>170</v>
      </c>
      <c r="AC109" s="153">
        <v>170</v>
      </c>
      <c r="AD109" s="151">
        <v>10844</v>
      </c>
      <c r="AE109" s="153">
        <v>10000</v>
      </c>
      <c r="AF109" s="151">
        <v>10200</v>
      </c>
      <c r="AG109" s="153">
        <v>9600</v>
      </c>
      <c r="AH109" s="151">
        <v>240</v>
      </c>
      <c r="AI109" s="153">
        <v>240</v>
      </c>
      <c r="AJ109" s="151"/>
      <c r="AK109" s="153"/>
      <c r="AL109" s="151"/>
      <c r="AM109" s="153"/>
      <c r="AN109" s="151"/>
      <c r="AO109" s="153"/>
      <c r="AP109" s="61">
        <f t="shared" si="21"/>
        <v>45206</v>
      </c>
      <c r="AQ109" s="75">
        <f t="shared" si="22"/>
        <v>48262</v>
      </c>
      <c r="AR109" s="150" t="s">
        <v>128</v>
      </c>
    </row>
    <row r="110" spans="1:44" ht="26.25" x14ac:dyDescent="0.25">
      <c r="A110" s="4" t="s">
        <v>133</v>
      </c>
      <c r="B110" s="4" t="s">
        <v>87</v>
      </c>
      <c r="C110" s="5" t="s">
        <v>86</v>
      </c>
      <c r="D110" s="151">
        <v>4596</v>
      </c>
      <c r="E110" s="153">
        <v>13812</v>
      </c>
      <c r="F110" s="151"/>
      <c r="G110" s="153"/>
      <c r="H110" s="151"/>
      <c r="I110" s="153"/>
      <c r="J110" s="151"/>
      <c r="K110" s="153"/>
      <c r="L110" s="151"/>
      <c r="M110" s="153"/>
      <c r="N110" s="151"/>
      <c r="O110" s="153"/>
      <c r="P110" s="151"/>
      <c r="Q110" s="153"/>
      <c r="R110" s="151"/>
      <c r="S110" s="153"/>
      <c r="T110" s="151"/>
      <c r="U110" s="153"/>
      <c r="V110" s="151"/>
      <c r="W110" s="153"/>
      <c r="X110" s="151"/>
      <c r="Y110" s="153"/>
      <c r="Z110" s="61">
        <f t="shared" si="19"/>
        <v>4596</v>
      </c>
      <c r="AA110" s="75">
        <f t="shared" si="20"/>
        <v>13812</v>
      </c>
      <c r="AB110" s="151"/>
      <c r="AC110" s="153"/>
      <c r="AD110" s="151"/>
      <c r="AE110" s="153"/>
      <c r="AF110" s="151"/>
      <c r="AG110" s="153"/>
      <c r="AH110" s="151"/>
      <c r="AI110" s="153"/>
      <c r="AJ110" s="151"/>
      <c r="AK110" s="153"/>
      <c r="AL110" s="151"/>
      <c r="AM110" s="153"/>
      <c r="AN110" s="151"/>
      <c r="AO110" s="153"/>
      <c r="AP110" s="61">
        <f t="shared" si="21"/>
        <v>4596</v>
      </c>
      <c r="AQ110" s="75">
        <f t="shared" si="22"/>
        <v>13812</v>
      </c>
      <c r="AR110" s="150" t="s">
        <v>128</v>
      </c>
    </row>
    <row r="111" spans="1:44" ht="26.25" x14ac:dyDescent="0.25">
      <c r="A111" s="4" t="s">
        <v>133</v>
      </c>
      <c r="B111" s="4" t="s">
        <v>88</v>
      </c>
      <c r="C111" s="5" t="s">
        <v>86</v>
      </c>
      <c r="D111" s="151"/>
      <c r="E111" s="153"/>
      <c r="F111" s="151"/>
      <c r="G111" s="153"/>
      <c r="H111" s="151"/>
      <c r="I111" s="153"/>
      <c r="J111" s="151"/>
      <c r="K111" s="153"/>
      <c r="L111" s="151"/>
      <c r="M111" s="153"/>
      <c r="N111" s="151"/>
      <c r="O111" s="153"/>
      <c r="P111" s="151"/>
      <c r="Q111" s="153"/>
      <c r="R111" s="151"/>
      <c r="S111" s="153"/>
      <c r="T111" s="151">
        <v>2658</v>
      </c>
      <c r="U111" s="153">
        <v>2113</v>
      </c>
      <c r="V111" s="151"/>
      <c r="W111" s="153"/>
      <c r="X111" s="151"/>
      <c r="Y111" s="153"/>
      <c r="Z111" s="61">
        <f t="shared" si="19"/>
        <v>2658</v>
      </c>
      <c r="AA111" s="75">
        <f t="shared" si="20"/>
        <v>2113</v>
      </c>
      <c r="AB111" s="151"/>
      <c r="AC111" s="153"/>
      <c r="AD111" s="151"/>
      <c r="AE111" s="153"/>
      <c r="AF111" s="151"/>
      <c r="AG111" s="153"/>
      <c r="AH111" s="151"/>
      <c r="AI111" s="153"/>
      <c r="AJ111" s="151"/>
      <c r="AK111" s="153"/>
      <c r="AL111" s="151"/>
      <c r="AM111" s="153"/>
      <c r="AN111" s="151"/>
      <c r="AO111" s="153"/>
      <c r="AP111" s="61">
        <f t="shared" si="21"/>
        <v>2658</v>
      </c>
      <c r="AQ111" s="75">
        <f t="shared" si="22"/>
        <v>2113</v>
      </c>
      <c r="AR111" s="150" t="s">
        <v>128</v>
      </c>
    </row>
    <row r="112" spans="1:44" ht="26.25" x14ac:dyDescent="0.25">
      <c r="A112" s="4" t="s">
        <v>133</v>
      </c>
      <c r="B112" s="4" t="s">
        <v>89</v>
      </c>
      <c r="C112" s="5" t="s">
        <v>86</v>
      </c>
      <c r="D112" s="151"/>
      <c r="E112" s="153"/>
      <c r="F112" s="151"/>
      <c r="G112" s="153"/>
      <c r="H112" s="151"/>
      <c r="I112" s="153"/>
      <c r="J112" s="151"/>
      <c r="K112" s="153"/>
      <c r="L112" s="151"/>
      <c r="M112" s="153"/>
      <c r="N112" s="151"/>
      <c r="O112" s="153"/>
      <c r="P112" s="151"/>
      <c r="Q112" s="153"/>
      <c r="R112" s="151"/>
      <c r="S112" s="153"/>
      <c r="T112" s="151">
        <v>2658</v>
      </c>
      <c r="U112" s="153">
        <v>2113</v>
      </c>
      <c r="V112" s="151"/>
      <c r="W112" s="153"/>
      <c r="X112" s="151"/>
      <c r="Y112" s="153"/>
      <c r="Z112" s="61">
        <f t="shared" si="19"/>
        <v>2658</v>
      </c>
      <c r="AA112" s="75">
        <f t="shared" si="20"/>
        <v>2113</v>
      </c>
      <c r="AB112" s="151"/>
      <c r="AC112" s="153"/>
      <c r="AD112" s="151"/>
      <c r="AE112" s="153"/>
      <c r="AF112" s="151"/>
      <c r="AG112" s="153"/>
      <c r="AH112" s="151"/>
      <c r="AI112" s="153"/>
      <c r="AJ112" s="151"/>
      <c r="AK112" s="153"/>
      <c r="AL112" s="151"/>
      <c r="AM112" s="153"/>
      <c r="AN112" s="151"/>
      <c r="AO112" s="153"/>
      <c r="AP112" s="61">
        <f t="shared" si="21"/>
        <v>2658</v>
      </c>
      <c r="AQ112" s="75">
        <f t="shared" si="22"/>
        <v>2113</v>
      </c>
      <c r="AR112" s="150" t="s">
        <v>128</v>
      </c>
    </row>
    <row r="113" spans="1:44" ht="30" x14ac:dyDescent="0.25">
      <c r="A113" s="4" t="s">
        <v>133</v>
      </c>
      <c r="B113" s="4" t="s">
        <v>118</v>
      </c>
      <c r="C113" s="5" t="s">
        <v>119</v>
      </c>
      <c r="D113" s="151">
        <v>107229</v>
      </c>
      <c r="E113" s="153">
        <v>153721</v>
      </c>
      <c r="F113" s="151">
        <v>403</v>
      </c>
      <c r="G113" s="153">
        <v>580</v>
      </c>
      <c r="H113" s="151"/>
      <c r="I113" s="153"/>
      <c r="J113" s="151">
        <v>2338</v>
      </c>
      <c r="K113" s="153">
        <v>4019</v>
      </c>
      <c r="L113" s="151">
        <v>9206</v>
      </c>
      <c r="M113" s="153">
        <v>9144</v>
      </c>
      <c r="N113" s="151">
        <v>1188</v>
      </c>
      <c r="O113" s="153">
        <v>1085</v>
      </c>
      <c r="P113" s="151">
        <v>1620</v>
      </c>
      <c r="Q113" s="153">
        <v>1400</v>
      </c>
      <c r="R113" s="151">
        <v>1900</v>
      </c>
      <c r="S113" s="153">
        <v>2000</v>
      </c>
      <c r="T113" s="151">
        <v>34800</v>
      </c>
      <c r="U113" s="153">
        <v>35880</v>
      </c>
      <c r="V113" s="151"/>
      <c r="W113" s="153"/>
      <c r="X113" s="151"/>
      <c r="Y113" s="153"/>
      <c r="Z113" s="61">
        <f t="shared" si="19"/>
        <v>158684</v>
      </c>
      <c r="AA113" s="75">
        <f t="shared" si="20"/>
        <v>207829</v>
      </c>
      <c r="AB113" s="151">
        <v>15</v>
      </c>
      <c r="AC113" s="153">
        <v>15</v>
      </c>
      <c r="AD113" s="151">
        <v>8060</v>
      </c>
      <c r="AE113" s="153">
        <v>10495</v>
      </c>
      <c r="AF113" s="151">
        <v>17821</v>
      </c>
      <c r="AG113" s="153">
        <v>22170</v>
      </c>
      <c r="AH113" s="151"/>
      <c r="AI113" s="153"/>
      <c r="AJ113" s="151"/>
      <c r="AK113" s="153"/>
      <c r="AL113" s="151"/>
      <c r="AM113" s="153"/>
      <c r="AN113" s="151"/>
      <c r="AO113" s="153"/>
      <c r="AP113" s="61">
        <f t="shared" si="21"/>
        <v>184580</v>
      </c>
      <c r="AQ113" s="75">
        <f t="shared" si="22"/>
        <v>240509</v>
      </c>
      <c r="AR113" s="150" t="s">
        <v>141</v>
      </c>
    </row>
    <row r="114" spans="1:44" ht="39" x14ac:dyDescent="0.25">
      <c r="A114" s="4" t="s">
        <v>133</v>
      </c>
      <c r="B114" s="4" t="s">
        <v>120</v>
      </c>
      <c r="C114" s="5" t="s">
        <v>119</v>
      </c>
      <c r="D114" s="151">
        <v>5305</v>
      </c>
      <c r="E114" s="153">
        <v>5305</v>
      </c>
      <c r="F114" s="151"/>
      <c r="G114" s="153"/>
      <c r="H114" s="151"/>
      <c r="I114" s="153"/>
      <c r="J114" s="151"/>
      <c r="K114" s="153"/>
      <c r="L114" s="151"/>
      <c r="M114" s="153"/>
      <c r="N114" s="151"/>
      <c r="O114" s="153"/>
      <c r="P114" s="151"/>
      <c r="Q114" s="153"/>
      <c r="R114" s="151"/>
      <c r="S114" s="153"/>
      <c r="T114" s="151"/>
      <c r="U114" s="153"/>
      <c r="V114" s="151"/>
      <c r="W114" s="153"/>
      <c r="X114" s="151"/>
      <c r="Y114" s="153"/>
      <c r="Z114" s="61">
        <f t="shared" si="19"/>
        <v>5305</v>
      </c>
      <c r="AA114" s="75">
        <f t="shared" si="20"/>
        <v>5305</v>
      </c>
      <c r="AB114" s="151"/>
      <c r="AC114" s="153"/>
      <c r="AD114" s="151"/>
      <c r="AE114" s="153"/>
      <c r="AF114" s="151"/>
      <c r="AG114" s="153"/>
      <c r="AH114" s="151"/>
      <c r="AI114" s="153"/>
      <c r="AJ114" s="151"/>
      <c r="AK114" s="153"/>
      <c r="AL114" s="151"/>
      <c r="AM114" s="153"/>
      <c r="AN114" s="151"/>
      <c r="AO114" s="153"/>
      <c r="AP114" s="61">
        <f t="shared" si="21"/>
        <v>5305</v>
      </c>
      <c r="AQ114" s="75">
        <f t="shared" si="22"/>
        <v>5305</v>
      </c>
      <c r="AR114" s="150" t="s">
        <v>102</v>
      </c>
    </row>
    <row r="115" spans="1:44" ht="30" x14ac:dyDescent="0.25">
      <c r="A115" s="4" t="s">
        <v>133</v>
      </c>
      <c r="B115" s="4" t="s">
        <v>121</v>
      </c>
      <c r="C115" s="5" t="s">
        <v>119</v>
      </c>
      <c r="D115" s="151">
        <v>2893</v>
      </c>
      <c r="E115" s="153">
        <v>2893</v>
      </c>
      <c r="F115" s="151"/>
      <c r="G115" s="153"/>
      <c r="H115" s="151"/>
      <c r="I115" s="153"/>
      <c r="J115" s="151"/>
      <c r="K115" s="153"/>
      <c r="L115" s="151"/>
      <c r="M115" s="153"/>
      <c r="N115" s="151"/>
      <c r="O115" s="153"/>
      <c r="P115" s="151"/>
      <c r="Q115" s="153"/>
      <c r="R115" s="151"/>
      <c r="S115" s="153"/>
      <c r="T115" s="151"/>
      <c r="U115" s="153"/>
      <c r="V115" s="151"/>
      <c r="W115" s="153"/>
      <c r="X115" s="151"/>
      <c r="Y115" s="153"/>
      <c r="Z115" s="61">
        <f t="shared" si="19"/>
        <v>2893</v>
      </c>
      <c r="AA115" s="75">
        <f t="shared" si="20"/>
        <v>2893</v>
      </c>
      <c r="AB115" s="151"/>
      <c r="AC115" s="153"/>
      <c r="AD115" s="151"/>
      <c r="AE115" s="153"/>
      <c r="AF115" s="151"/>
      <c r="AG115" s="153"/>
      <c r="AH115" s="151"/>
      <c r="AI115" s="153"/>
      <c r="AJ115" s="151"/>
      <c r="AK115" s="153"/>
      <c r="AL115" s="151"/>
      <c r="AM115" s="153"/>
      <c r="AN115" s="151"/>
      <c r="AO115" s="153"/>
      <c r="AP115" s="61">
        <f t="shared" si="21"/>
        <v>2893</v>
      </c>
      <c r="AQ115" s="75">
        <f t="shared" si="22"/>
        <v>2893</v>
      </c>
      <c r="AR115" s="150" t="s">
        <v>142</v>
      </c>
    </row>
    <row r="116" spans="1:44" x14ac:dyDescent="0.25">
      <c r="A116" s="4" t="s">
        <v>133</v>
      </c>
      <c r="B116" s="4" t="s">
        <v>143</v>
      </c>
      <c r="C116" s="5" t="s">
        <v>70</v>
      </c>
      <c r="D116" s="151">
        <v>849</v>
      </c>
      <c r="E116" s="153">
        <v>890</v>
      </c>
      <c r="F116" s="151"/>
      <c r="G116" s="153"/>
      <c r="H116" s="151"/>
      <c r="I116" s="153"/>
      <c r="J116" s="151"/>
      <c r="K116" s="153"/>
      <c r="L116" s="151"/>
      <c r="M116" s="153"/>
      <c r="N116" s="151">
        <v>52</v>
      </c>
      <c r="O116" s="153"/>
      <c r="P116" s="151"/>
      <c r="Q116" s="153"/>
      <c r="R116" s="151"/>
      <c r="S116" s="153"/>
      <c r="T116" s="151"/>
      <c r="U116" s="153"/>
      <c r="V116" s="151"/>
      <c r="W116" s="153"/>
      <c r="X116" s="151">
        <v>50</v>
      </c>
      <c r="Y116" s="153"/>
      <c r="Z116" s="61">
        <f t="shared" si="19"/>
        <v>951</v>
      </c>
      <c r="AA116" s="75">
        <f t="shared" si="20"/>
        <v>890</v>
      </c>
      <c r="AB116" s="151"/>
      <c r="AC116" s="153"/>
      <c r="AD116" s="151">
        <v>709</v>
      </c>
      <c r="AE116" s="153">
        <v>600</v>
      </c>
      <c r="AF116" s="151">
        <v>500</v>
      </c>
      <c r="AG116" s="153">
        <v>450</v>
      </c>
      <c r="AH116" s="151"/>
      <c r="AI116" s="153"/>
      <c r="AJ116" s="151"/>
      <c r="AK116" s="153"/>
      <c r="AL116" s="151"/>
      <c r="AM116" s="153"/>
      <c r="AN116" s="151"/>
      <c r="AO116" s="153"/>
      <c r="AP116" s="61">
        <f t="shared" si="21"/>
        <v>2160</v>
      </c>
      <c r="AQ116" s="75">
        <f t="shared" si="22"/>
        <v>1940</v>
      </c>
      <c r="AR116" s="150" t="s">
        <v>71</v>
      </c>
    </row>
    <row r="117" spans="1:44" x14ac:dyDescent="0.25">
      <c r="A117" s="4" t="s">
        <v>133</v>
      </c>
      <c r="B117" s="4" t="s">
        <v>97</v>
      </c>
      <c r="C117" s="5" t="s">
        <v>96</v>
      </c>
      <c r="D117" s="151"/>
      <c r="E117" s="153"/>
      <c r="F117" s="151">
        <v>5</v>
      </c>
      <c r="G117" s="153">
        <v>5</v>
      </c>
      <c r="H117" s="151"/>
      <c r="I117" s="153"/>
      <c r="J117" s="151"/>
      <c r="K117" s="153"/>
      <c r="L117" s="151"/>
      <c r="M117" s="153"/>
      <c r="N117" s="151"/>
      <c r="O117" s="153"/>
      <c r="P117" s="151"/>
      <c r="Q117" s="153"/>
      <c r="R117" s="151">
        <v>6447</v>
      </c>
      <c r="S117" s="153">
        <v>6000</v>
      </c>
      <c r="T117" s="151"/>
      <c r="U117" s="153"/>
      <c r="V117" s="151">
        <v>4900</v>
      </c>
      <c r="W117" s="153">
        <v>3900</v>
      </c>
      <c r="X117" s="151"/>
      <c r="Y117" s="153"/>
      <c r="Z117" s="61">
        <f t="shared" si="19"/>
        <v>11352</v>
      </c>
      <c r="AA117" s="75">
        <f t="shared" si="20"/>
        <v>9905</v>
      </c>
      <c r="AB117" s="151"/>
      <c r="AC117" s="153"/>
      <c r="AD117" s="151"/>
      <c r="AE117" s="153"/>
      <c r="AF117" s="151"/>
      <c r="AG117" s="153"/>
      <c r="AH117" s="151"/>
      <c r="AI117" s="153"/>
      <c r="AJ117" s="151"/>
      <c r="AK117" s="153"/>
      <c r="AL117" s="151"/>
      <c r="AM117" s="153"/>
      <c r="AN117" s="151"/>
      <c r="AO117" s="153"/>
      <c r="AP117" s="61">
        <f t="shared" si="21"/>
        <v>11352</v>
      </c>
      <c r="AQ117" s="75">
        <f t="shared" si="22"/>
        <v>9905</v>
      </c>
      <c r="AR117" s="150" t="s">
        <v>128</v>
      </c>
    </row>
    <row r="118" spans="1:44" x14ac:dyDescent="0.25">
      <c r="A118" s="4" t="s">
        <v>133</v>
      </c>
      <c r="B118" s="4" t="s">
        <v>91</v>
      </c>
      <c r="C118" s="5" t="s">
        <v>86</v>
      </c>
      <c r="D118" s="151">
        <f>84536+893</f>
        <v>85429</v>
      </c>
      <c r="E118" s="153">
        <f>94952+934</f>
        <v>95886</v>
      </c>
      <c r="F118" s="151"/>
      <c r="G118" s="153"/>
      <c r="H118" s="151"/>
      <c r="I118" s="153"/>
      <c r="J118" s="151"/>
      <c r="K118" s="153"/>
      <c r="L118" s="151"/>
      <c r="M118" s="153"/>
      <c r="N118" s="151"/>
      <c r="O118" s="153"/>
      <c r="P118" s="151"/>
      <c r="Q118" s="153"/>
      <c r="R118" s="151"/>
      <c r="S118" s="153"/>
      <c r="T118" s="151"/>
      <c r="U118" s="153"/>
      <c r="V118" s="151"/>
      <c r="W118" s="153"/>
      <c r="X118" s="151"/>
      <c r="Y118" s="153"/>
      <c r="Z118" s="61">
        <f t="shared" si="19"/>
        <v>85429</v>
      </c>
      <c r="AA118" s="75">
        <f t="shared" si="20"/>
        <v>95886</v>
      </c>
      <c r="AB118" s="151"/>
      <c r="AC118" s="153"/>
      <c r="AD118" s="151"/>
      <c r="AE118" s="153"/>
      <c r="AF118" s="151"/>
      <c r="AG118" s="153"/>
      <c r="AH118" s="151"/>
      <c r="AI118" s="153"/>
      <c r="AJ118" s="151"/>
      <c r="AK118" s="153"/>
      <c r="AL118" s="151"/>
      <c r="AM118" s="153"/>
      <c r="AN118" s="151"/>
      <c r="AO118" s="153"/>
      <c r="AP118" s="61">
        <f t="shared" si="21"/>
        <v>85429</v>
      </c>
      <c r="AQ118" s="75">
        <f t="shared" si="22"/>
        <v>95886</v>
      </c>
      <c r="AR118" s="150" t="s">
        <v>128</v>
      </c>
    </row>
    <row r="119" spans="1:44" ht="26.25" x14ac:dyDescent="0.25">
      <c r="A119" s="4" t="s">
        <v>133</v>
      </c>
      <c r="B119" s="4" t="s">
        <v>92</v>
      </c>
      <c r="C119" s="5" t="s">
        <v>93</v>
      </c>
      <c r="D119" s="151">
        <f>4328+89</f>
        <v>4417</v>
      </c>
      <c r="E119" s="153">
        <f>5389+71</f>
        <v>5460</v>
      </c>
      <c r="F119" s="151"/>
      <c r="G119" s="153"/>
      <c r="H119" s="151"/>
      <c r="I119" s="153"/>
      <c r="J119" s="151"/>
      <c r="K119" s="153"/>
      <c r="L119" s="151"/>
      <c r="M119" s="153"/>
      <c r="N119" s="151"/>
      <c r="O119" s="153"/>
      <c r="P119" s="151"/>
      <c r="Q119" s="153"/>
      <c r="R119" s="151"/>
      <c r="S119" s="153"/>
      <c r="T119" s="151"/>
      <c r="U119" s="153"/>
      <c r="V119" s="151"/>
      <c r="W119" s="153"/>
      <c r="X119" s="151"/>
      <c r="Y119" s="153"/>
      <c r="Z119" s="61">
        <f t="shared" si="19"/>
        <v>4417</v>
      </c>
      <c r="AA119" s="75">
        <f t="shared" si="20"/>
        <v>5460</v>
      </c>
      <c r="AB119" s="151"/>
      <c r="AC119" s="153"/>
      <c r="AD119" s="151"/>
      <c r="AE119" s="153"/>
      <c r="AF119" s="151"/>
      <c r="AG119" s="153"/>
      <c r="AH119" s="151"/>
      <c r="AI119" s="153"/>
      <c r="AJ119" s="151"/>
      <c r="AK119" s="153"/>
      <c r="AL119" s="151"/>
      <c r="AM119" s="153"/>
      <c r="AN119" s="151"/>
      <c r="AO119" s="153"/>
      <c r="AP119" s="61">
        <f t="shared" si="21"/>
        <v>4417</v>
      </c>
      <c r="AQ119" s="75">
        <f t="shared" si="22"/>
        <v>5460</v>
      </c>
      <c r="AR119" s="150" t="s">
        <v>128</v>
      </c>
    </row>
    <row r="120" spans="1:44" ht="26.25" x14ac:dyDescent="0.25">
      <c r="A120" s="4" t="s">
        <v>133</v>
      </c>
      <c r="B120" s="4" t="s">
        <v>84</v>
      </c>
      <c r="C120" s="5" t="s">
        <v>82</v>
      </c>
      <c r="D120" s="151">
        <v>14552</v>
      </c>
      <c r="E120" s="153">
        <v>12896</v>
      </c>
      <c r="F120" s="151"/>
      <c r="G120" s="153"/>
      <c r="H120" s="151"/>
      <c r="I120" s="153"/>
      <c r="J120" s="151"/>
      <c r="K120" s="153"/>
      <c r="L120" s="151"/>
      <c r="M120" s="153"/>
      <c r="N120" s="151"/>
      <c r="O120" s="153"/>
      <c r="P120" s="151"/>
      <c r="Q120" s="153"/>
      <c r="R120" s="151"/>
      <c r="S120" s="153"/>
      <c r="T120" s="151"/>
      <c r="U120" s="153"/>
      <c r="V120" s="151"/>
      <c r="W120" s="153"/>
      <c r="X120" s="151"/>
      <c r="Y120" s="153"/>
      <c r="Z120" s="61">
        <f t="shared" si="19"/>
        <v>14552</v>
      </c>
      <c r="AA120" s="75">
        <f t="shared" si="20"/>
        <v>12896</v>
      </c>
      <c r="AB120" s="151"/>
      <c r="AC120" s="153"/>
      <c r="AD120" s="151"/>
      <c r="AE120" s="153"/>
      <c r="AF120" s="151"/>
      <c r="AG120" s="153"/>
      <c r="AH120" s="151"/>
      <c r="AI120" s="153"/>
      <c r="AJ120" s="151"/>
      <c r="AK120" s="153"/>
      <c r="AL120" s="151"/>
      <c r="AM120" s="153"/>
      <c r="AN120" s="151"/>
      <c r="AO120" s="153"/>
      <c r="AP120" s="61">
        <f t="shared" si="21"/>
        <v>14552</v>
      </c>
      <c r="AQ120" s="75">
        <f t="shared" si="22"/>
        <v>12896</v>
      </c>
      <c r="AR120" s="150" t="s">
        <v>128</v>
      </c>
    </row>
    <row r="121" spans="1:44" ht="26.25" x14ac:dyDescent="0.25">
      <c r="A121" s="4" t="s">
        <v>133</v>
      </c>
      <c r="B121" s="4" t="s">
        <v>144</v>
      </c>
      <c r="C121" s="5" t="s">
        <v>86</v>
      </c>
      <c r="D121" s="151">
        <v>380080</v>
      </c>
      <c r="E121" s="153">
        <f>334624+97807</f>
        <v>432431</v>
      </c>
      <c r="F121" s="151"/>
      <c r="G121" s="153"/>
      <c r="H121" s="151"/>
      <c r="I121" s="153"/>
      <c r="J121" s="151"/>
      <c r="K121" s="153"/>
      <c r="L121" s="151"/>
      <c r="M121" s="153"/>
      <c r="N121" s="151"/>
      <c r="O121" s="153"/>
      <c r="P121" s="151"/>
      <c r="Q121" s="153"/>
      <c r="R121" s="151"/>
      <c r="S121" s="153"/>
      <c r="T121" s="151"/>
      <c r="U121" s="153"/>
      <c r="V121" s="151"/>
      <c r="W121" s="153"/>
      <c r="X121" s="151"/>
      <c r="Y121" s="153"/>
      <c r="Z121" s="61">
        <f t="shared" si="19"/>
        <v>380080</v>
      </c>
      <c r="AA121" s="75">
        <f t="shared" si="20"/>
        <v>432431</v>
      </c>
      <c r="AB121" s="151"/>
      <c r="AC121" s="153"/>
      <c r="AD121" s="151">
        <v>142275</v>
      </c>
      <c r="AE121" s="153">
        <v>86092</v>
      </c>
      <c r="AF121" s="151"/>
      <c r="AG121" s="153">
        <v>60000</v>
      </c>
      <c r="AH121" s="151"/>
      <c r="AI121" s="153"/>
      <c r="AJ121" s="151"/>
      <c r="AK121" s="153"/>
      <c r="AL121" s="151"/>
      <c r="AM121" s="153"/>
      <c r="AN121" s="151"/>
      <c r="AO121" s="153"/>
      <c r="AP121" s="61">
        <f t="shared" si="21"/>
        <v>522355</v>
      </c>
      <c r="AQ121" s="75">
        <f t="shared" si="22"/>
        <v>578523</v>
      </c>
      <c r="AR121" s="150" t="s">
        <v>128</v>
      </c>
    </row>
    <row r="122" spans="1:44" ht="26.25" x14ac:dyDescent="0.25">
      <c r="A122" s="4" t="s">
        <v>133</v>
      </c>
      <c r="B122" s="4" t="s">
        <v>145</v>
      </c>
      <c r="C122" s="5" t="s">
        <v>96</v>
      </c>
      <c r="D122" s="151">
        <v>13223</v>
      </c>
      <c r="E122" s="153">
        <v>14831</v>
      </c>
      <c r="F122" s="151"/>
      <c r="G122" s="153"/>
      <c r="H122" s="151"/>
      <c r="I122" s="153"/>
      <c r="J122" s="151"/>
      <c r="K122" s="153"/>
      <c r="L122" s="151"/>
      <c r="M122" s="153"/>
      <c r="N122" s="151"/>
      <c r="O122" s="153"/>
      <c r="P122" s="151"/>
      <c r="Q122" s="153"/>
      <c r="R122" s="151"/>
      <c r="S122" s="153"/>
      <c r="T122" s="151"/>
      <c r="U122" s="153"/>
      <c r="V122" s="151"/>
      <c r="W122" s="153"/>
      <c r="X122" s="151"/>
      <c r="Y122" s="153"/>
      <c r="Z122" s="61">
        <f t="shared" si="19"/>
        <v>13223</v>
      </c>
      <c r="AA122" s="75">
        <f t="shared" si="20"/>
        <v>14831</v>
      </c>
      <c r="AB122" s="151"/>
      <c r="AC122" s="153"/>
      <c r="AD122" s="151"/>
      <c r="AE122" s="153"/>
      <c r="AF122" s="151"/>
      <c r="AG122" s="153"/>
      <c r="AH122" s="151"/>
      <c r="AI122" s="153"/>
      <c r="AJ122" s="151"/>
      <c r="AK122" s="153"/>
      <c r="AL122" s="151"/>
      <c r="AM122" s="153"/>
      <c r="AN122" s="151"/>
      <c r="AO122" s="153"/>
      <c r="AP122" s="61">
        <f t="shared" si="21"/>
        <v>13223</v>
      </c>
      <c r="AQ122" s="75">
        <f t="shared" si="22"/>
        <v>14831</v>
      </c>
      <c r="AR122" s="150" t="s">
        <v>128</v>
      </c>
    </row>
    <row r="123" spans="1:44" x14ac:dyDescent="0.25">
      <c r="A123" s="4" t="s">
        <v>133</v>
      </c>
      <c r="B123" s="4" t="s">
        <v>146</v>
      </c>
      <c r="C123" s="5" t="s">
        <v>79</v>
      </c>
      <c r="D123" s="151">
        <v>5941</v>
      </c>
      <c r="E123" s="153">
        <v>6199</v>
      </c>
      <c r="F123" s="151"/>
      <c r="G123" s="153"/>
      <c r="H123" s="151"/>
      <c r="I123" s="153"/>
      <c r="J123" s="151"/>
      <c r="K123" s="153"/>
      <c r="L123" s="151"/>
      <c r="M123" s="153"/>
      <c r="N123" s="151"/>
      <c r="O123" s="153"/>
      <c r="P123" s="151"/>
      <c r="Q123" s="153"/>
      <c r="R123" s="151"/>
      <c r="S123" s="153"/>
      <c r="T123" s="151"/>
      <c r="U123" s="153"/>
      <c r="V123" s="151"/>
      <c r="W123" s="153"/>
      <c r="X123" s="151"/>
      <c r="Y123" s="153"/>
      <c r="Z123" s="61">
        <f t="shared" si="19"/>
        <v>5941</v>
      </c>
      <c r="AA123" s="75">
        <f t="shared" si="20"/>
        <v>6199</v>
      </c>
      <c r="AB123" s="151"/>
      <c r="AC123" s="153"/>
      <c r="AD123" s="151"/>
      <c r="AE123" s="153"/>
      <c r="AF123" s="151"/>
      <c r="AG123" s="153"/>
      <c r="AH123" s="151"/>
      <c r="AI123" s="153"/>
      <c r="AJ123" s="151"/>
      <c r="AK123" s="153"/>
      <c r="AL123" s="151"/>
      <c r="AM123" s="153"/>
      <c r="AN123" s="151"/>
      <c r="AO123" s="153"/>
      <c r="AP123" s="61">
        <f t="shared" si="21"/>
        <v>5941</v>
      </c>
      <c r="AQ123" s="75">
        <f t="shared" si="22"/>
        <v>6199</v>
      </c>
      <c r="AR123" s="150" t="s">
        <v>128</v>
      </c>
    </row>
    <row r="124" spans="1:44" ht="30" x14ac:dyDescent="0.25">
      <c r="A124" s="4" t="s">
        <v>133</v>
      </c>
      <c r="B124" s="4" t="s">
        <v>100</v>
      </c>
      <c r="C124" s="5" t="s">
        <v>101</v>
      </c>
      <c r="D124" s="151"/>
      <c r="E124" s="153"/>
      <c r="F124" s="151"/>
      <c r="G124" s="153"/>
      <c r="H124" s="151"/>
      <c r="I124" s="153"/>
      <c r="J124" s="151"/>
      <c r="K124" s="153"/>
      <c r="L124" s="151"/>
      <c r="M124" s="153"/>
      <c r="N124" s="151"/>
      <c r="O124" s="153"/>
      <c r="P124" s="151"/>
      <c r="Q124" s="153"/>
      <c r="R124" s="151"/>
      <c r="S124" s="153"/>
      <c r="T124" s="151"/>
      <c r="U124" s="153"/>
      <c r="V124" s="151"/>
      <c r="W124" s="153"/>
      <c r="X124" s="151"/>
      <c r="Y124" s="153"/>
      <c r="Z124" s="61">
        <f t="shared" si="19"/>
        <v>0</v>
      </c>
      <c r="AA124" s="75">
        <f t="shared" si="20"/>
        <v>0</v>
      </c>
      <c r="AB124" s="151"/>
      <c r="AC124" s="153"/>
      <c r="AD124" s="151"/>
      <c r="AE124" s="153"/>
      <c r="AF124" s="151"/>
      <c r="AG124" s="153"/>
      <c r="AH124" s="151"/>
      <c r="AI124" s="153"/>
      <c r="AJ124" s="151"/>
      <c r="AK124" s="153"/>
      <c r="AL124" s="151">
        <v>10914</v>
      </c>
      <c r="AM124" s="153">
        <v>10900</v>
      </c>
      <c r="AN124" s="151"/>
      <c r="AO124" s="153"/>
      <c r="AP124" s="61">
        <f t="shared" si="21"/>
        <v>10914</v>
      </c>
      <c r="AQ124" s="75">
        <f t="shared" si="22"/>
        <v>10900</v>
      </c>
      <c r="AR124" s="150" t="s">
        <v>102</v>
      </c>
    </row>
    <row r="125" spans="1:44" x14ac:dyDescent="0.25">
      <c r="A125" s="4" t="s">
        <v>133</v>
      </c>
      <c r="B125" s="4" t="s">
        <v>105</v>
      </c>
      <c r="C125" s="5"/>
      <c r="D125" s="151">
        <v>8313</v>
      </c>
      <c r="E125" s="153">
        <v>10473</v>
      </c>
      <c r="F125" s="151"/>
      <c r="G125" s="153"/>
      <c r="H125" s="151"/>
      <c r="I125" s="153"/>
      <c r="J125" s="151"/>
      <c r="K125" s="153"/>
      <c r="L125" s="151"/>
      <c r="M125" s="153"/>
      <c r="N125" s="151"/>
      <c r="O125" s="153"/>
      <c r="P125" s="151"/>
      <c r="Q125" s="153"/>
      <c r="R125" s="151"/>
      <c r="S125" s="153"/>
      <c r="T125" s="151"/>
      <c r="U125" s="153"/>
      <c r="V125" s="151"/>
      <c r="W125" s="153"/>
      <c r="X125" s="151"/>
      <c r="Y125" s="153"/>
      <c r="Z125" s="61">
        <f t="shared" si="19"/>
        <v>8313</v>
      </c>
      <c r="AA125" s="75">
        <f t="shared" si="20"/>
        <v>10473</v>
      </c>
      <c r="AB125" s="151"/>
      <c r="AC125" s="153"/>
      <c r="AD125" s="151"/>
      <c r="AE125" s="153"/>
      <c r="AF125" s="151"/>
      <c r="AG125" s="153"/>
      <c r="AH125" s="151"/>
      <c r="AI125" s="153"/>
      <c r="AJ125" s="151"/>
      <c r="AK125" s="153"/>
      <c r="AL125" s="151"/>
      <c r="AM125" s="153"/>
      <c r="AN125" s="151"/>
      <c r="AO125" s="153"/>
      <c r="AP125" s="61">
        <f t="shared" si="21"/>
        <v>8313</v>
      </c>
      <c r="AQ125" s="75">
        <f t="shared" si="22"/>
        <v>10473</v>
      </c>
      <c r="AR125" s="150" t="s">
        <v>58</v>
      </c>
    </row>
    <row r="126" spans="1:44" x14ac:dyDescent="0.25">
      <c r="A126" s="4" t="s">
        <v>133</v>
      </c>
      <c r="B126" s="4" t="s">
        <v>106</v>
      </c>
      <c r="C126" s="5"/>
      <c r="D126" s="151">
        <v>7728</v>
      </c>
      <c r="E126" s="153">
        <v>9609</v>
      </c>
      <c r="F126" s="151"/>
      <c r="G126" s="153"/>
      <c r="H126" s="151"/>
      <c r="I126" s="153"/>
      <c r="J126" s="151"/>
      <c r="K126" s="153"/>
      <c r="L126" s="151"/>
      <c r="M126" s="153"/>
      <c r="N126" s="151"/>
      <c r="O126" s="153"/>
      <c r="P126" s="151"/>
      <c r="Q126" s="153"/>
      <c r="R126" s="151"/>
      <c r="S126" s="153"/>
      <c r="T126" s="151"/>
      <c r="U126" s="153"/>
      <c r="V126" s="151"/>
      <c r="W126" s="153"/>
      <c r="X126" s="151"/>
      <c r="Y126" s="153"/>
      <c r="Z126" s="61">
        <f t="shared" si="19"/>
        <v>7728</v>
      </c>
      <c r="AA126" s="75">
        <f t="shared" si="20"/>
        <v>9609</v>
      </c>
      <c r="AB126" s="151"/>
      <c r="AC126" s="153"/>
      <c r="AD126" s="151"/>
      <c r="AE126" s="153"/>
      <c r="AF126" s="151"/>
      <c r="AG126" s="153"/>
      <c r="AH126" s="151"/>
      <c r="AI126" s="153"/>
      <c r="AJ126" s="151"/>
      <c r="AK126" s="153"/>
      <c r="AL126" s="151"/>
      <c r="AM126" s="153"/>
      <c r="AN126" s="151"/>
      <c r="AO126" s="153"/>
      <c r="AP126" s="61">
        <f t="shared" si="21"/>
        <v>7728</v>
      </c>
      <c r="AQ126" s="75">
        <f t="shared" si="22"/>
        <v>9609</v>
      </c>
      <c r="AR126" s="150" t="s">
        <v>58</v>
      </c>
    </row>
    <row r="127" spans="1:44" ht="30" x14ac:dyDescent="0.25">
      <c r="A127" s="4" t="s">
        <v>133</v>
      </c>
      <c r="B127" s="4" t="s">
        <v>147</v>
      </c>
      <c r="C127" s="5" t="s">
        <v>104</v>
      </c>
      <c r="D127" s="151"/>
      <c r="E127" s="153"/>
      <c r="F127" s="151">
        <v>51</v>
      </c>
      <c r="G127" s="153">
        <v>51</v>
      </c>
      <c r="H127" s="151"/>
      <c r="I127" s="153"/>
      <c r="J127" s="151"/>
      <c r="K127" s="153"/>
      <c r="L127" s="151"/>
      <c r="M127" s="153"/>
      <c r="N127" s="151"/>
      <c r="O127" s="153"/>
      <c r="P127" s="151"/>
      <c r="Q127" s="153"/>
      <c r="R127" s="151">
        <v>676</v>
      </c>
      <c r="S127" s="153">
        <v>500</v>
      </c>
      <c r="T127" s="151"/>
      <c r="U127" s="153"/>
      <c r="V127" s="151"/>
      <c r="W127" s="153"/>
      <c r="X127" s="151"/>
      <c r="Y127" s="153"/>
      <c r="Z127" s="61">
        <f t="shared" si="19"/>
        <v>727</v>
      </c>
      <c r="AA127" s="75">
        <f t="shared" si="20"/>
        <v>551</v>
      </c>
      <c r="AB127" s="151"/>
      <c r="AC127" s="153"/>
      <c r="AD127" s="151">
        <v>30</v>
      </c>
      <c r="AE127" s="153">
        <v>30</v>
      </c>
      <c r="AF127" s="151">
        <v>15</v>
      </c>
      <c r="AG127" s="153">
        <v>15</v>
      </c>
      <c r="AH127" s="151"/>
      <c r="AI127" s="153"/>
      <c r="AJ127" s="151"/>
      <c r="AK127" s="153"/>
      <c r="AL127" s="151"/>
      <c r="AM127" s="153"/>
      <c r="AN127" s="151"/>
      <c r="AO127" s="153"/>
      <c r="AP127" s="61">
        <f t="shared" si="21"/>
        <v>772</v>
      </c>
      <c r="AQ127" s="75">
        <f t="shared" si="22"/>
        <v>596</v>
      </c>
      <c r="AR127" s="150" t="s">
        <v>102</v>
      </c>
    </row>
    <row r="128" spans="1:44" x14ac:dyDescent="0.25">
      <c r="A128" s="16" t="s">
        <v>148</v>
      </c>
      <c r="B128" s="16" t="s">
        <v>108</v>
      </c>
      <c r="C128" s="17"/>
      <c r="D128" s="18">
        <f t="shared" ref="D128:AQ128" si="23">SUM(D97:D127)</f>
        <v>910048</v>
      </c>
      <c r="E128" s="105">
        <f t="shared" si="23"/>
        <v>1079378</v>
      </c>
      <c r="F128" s="18">
        <f t="shared" si="23"/>
        <v>3170</v>
      </c>
      <c r="G128" s="18">
        <f t="shared" si="23"/>
        <v>2460</v>
      </c>
      <c r="H128" s="18">
        <f t="shared" si="23"/>
        <v>17192</v>
      </c>
      <c r="I128" s="18">
        <f t="shared" si="23"/>
        <v>23920</v>
      </c>
      <c r="J128" s="18">
        <f t="shared" si="23"/>
        <v>4515</v>
      </c>
      <c r="K128" s="18">
        <f t="shared" si="23"/>
        <v>7041</v>
      </c>
      <c r="L128" s="18">
        <f t="shared" si="23"/>
        <v>23000</v>
      </c>
      <c r="M128" s="18">
        <f t="shared" si="23"/>
        <v>22552</v>
      </c>
      <c r="N128" s="18">
        <f t="shared" si="23"/>
        <v>3331</v>
      </c>
      <c r="O128" s="18">
        <f t="shared" si="23"/>
        <v>2875</v>
      </c>
      <c r="P128" s="18">
        <f t="shared" si="23"/>
        <v>4905</v>
      </c>
      <c r="Q128" s="18">
        <f t="shared" si="23"/>
        <v>2190</v>
      </c>
      <c r="R128" s="18">
        <f t="shared" si="23"/>
        <v>20126</v>
      </c>
      <c r="S128" s="18">
        <f t="shared" si="23"/>
        <v>17200</v>
      </c>
      <c r="T128" s="18">
        <f t="shared" si="23"/>
        <v>48699</v>
      </c>
      <c r="U128" s="18">
        <f t="shared" si="23"/>
        <v>49086</v>
      </c>
      <c r="V128" s="18">
        <f t="shared" si="23"/>
        <v>4900</v>
      </c>
      <c r="W128" s="18">
        <f t="shared" si="23"/>
        <v>3900</v>
      </c>
      <c r="X128" s="18">
        <f t="shared" si="23"/>
        <v>943</v>
      </c>
      <c r="Y128" s="18">
        <f t="shared" si="23"/>
        <v>890</v>
      </c>
      <c r="Z128" s="18">
        <f t="shared" si="23"/>
        <v>1040829</v>
      </c>
      <c r="AA128" s="18">
        <f t="shared" si="23"/>
        <v>1211492</v>
      </c>
      <c r="AB128" s="18">
        <f t="shared" si="23"/>
        <v>281</v>
      </c>
      <c r="AC128" s="18">
        <f t="shared" si="23"/>
        <v>281</v>
      </c>
      <c r="AD128" s="18">
        <f t="shared" si="23"/>
        <v>217234</v>
      </c>
      <c r="AE128" s="18">
        <f t="shared" si="23"/>
        <v>140257</v>
      </c>
      <c r="AF128" s="18">
        <f t="shared" si="23"/>
        <v>58442</v>
      </c>
      <c r="AG128" s="18">
        <f t="shared" si="23"/>
        <v>135784</v>
      </c>
      <c r="AH128" s="18">
        <f t="shared" si="23"/>
        <v>2598</v>
      </c>
      <c r="AI128" s="18">
        <f t="shared" si="23"/>
        <v>2510</v>
      </c>
      <c r="AJ128" s="18">
        <f t="shared" si="23"/>
        <v>0</v>
      </c>
      <c r="AK128" s="18">
        <f t="shared" si="23"/>
        <v>0</v>
      </c>
      <c r="AL128" s="18">
        <f t="shared" si="23"/>
        <v>10914</v>
      </c>
      <c r="AM128" s="18">
        <f t="shared" si="23"/>
        <v>10900</v>
      </c>
      <c r="AN128" s="18">
        <f t="shared" si="23"/>
        <v>0</v>
      </c>
      <c r="AO128" s="18">
        <f t="shared" si="23"/>
        <v>0</v>
      </c>
      <c r="AP128" s="18">
        <f t="shared" si="23"/>
        <v>1330298</v>
      </c>
      <c r="AQ128" s="18">
        <f t="shared" si="23"/>
        <v>1501224</v>
      </c>
      <c r="AR128" s="150"/>
    </row>
    <row r="129" spans="1:44" x14ac:dyDescent="0.25">
      <c r="A129" s="4" t="s">
        <v>149</v>
      </c>
      <c r="B129" s="4" t="s">
        <v>56</v>
      </c>
      <c r="C129" s="5" t="s">
        <v>57</v>
      </c>
      <c r="D129" s="151">
        <v>49192</v>
      </c>
      <c r="E129" s="153">
        <v>46836</v>
      </c>
      <c r="F129" s="151">
        <v>815</v>
      </c>
      <c r="G129" s="153">
        <v>800</v>
      </c>
      <c r="H129" s="151"/>
      <c r="I129" s="153"/>
      <c r="J129" s="151">
        <v>475</v>
      </c>
      <c r="K129" s="153">
        <v>475</v>
      </c>
      <c r="L129" s="151">
        <v>2586</v>
      </c>
      <c r="M129" s="153">
        <v>2586</v>
      </c>
      <c r="N129" s="151">
        <v>510</v>
      </c>
      <c r="O129" s="153">
        <v>551</v>
      </c>
      <c r="P129" s="151"/>
      <c r="Q129" s="153"/>
      <c r="R129" s="151">
        <v>3110</v>
      </c>
      <c r="S129" s="153">
        <v>2500</v>
      </c>
      <c r="T129" s="151"/>
      <c r="U129" s="153"/>
      <c r="V129" s="151"/>
      <c r="W129" s="153"/>
      <c r="X129" s="151"/>
      <c r="Y129" s="153"/>
      <c r="Z129" s="61">
        <f t="shared" ref="Z129:Z165" si="24">D129+F129+H129+J129+L129+P129+R129+T129+V129+X129+N129</f>
        <v>56688</v>
      </c>
      <c r="AA129" s="75">
        <f t="shared" ref="AA129:AA165" si="25">E129+G129+I129+K129+M129+Q129+S129+U129+W129+Y129+O129</f>
        <v>53748</v>
      </c>
      <c r="AB129" s="151"/>
      <c r="AC129" s="153"/>
      <c r="AD129" s="151">
        <v>7410</v>
      </c>
      <c r="AE129" s="153">
        <v>6755</v>
      </c>
      <c r="AF129" s="151">
        <v>4650</v>
      </c>
      <c r="AG129" s="153">
        <v>4417</v>
      </c>
      <c r="AH129" s="151"/>
      <c r="AI129" s="153"/>
      <c r="AJ129" s="151"/>
      <c r="AK129" s="153"/>
      <c r="AL129" s="151"/>
      <c r="AM129" s="153"/>
      <c r="AN129" s="151">
        <v>115</v>
      </c>
      <c r="AO129" s="153"/>
      <c r="AP129" s="61">
        <f t="shared" ref="AP129:AP165" si="26">Z129+AB129+AD129+AF129+AH129+AJ129+AL129+AN129</f>
        <v>68863</v>
      </c>
      <c r="AQ129" s="75">
        <f t="shared" ref="AQ129:AQ165" si="27">AA129+AC129+AE129+AG129+AI129+AK129+AM129+AO129</f>
        <v>64920</v>
      </c>
      <c r="AR129" s="150" t="s">
        <v>58</v>
      </c>
    </row>
    <row r="130" spans="1:44" x14ac:dyDescent="0.25">
      <c r="A130" s="4" t="s">
        <v>149</v>
      </c>
      <c r="B130" s="4" t="s">
        <v>150</v>
      </c>
      <c r="C130" s="5" t="s">
        <v>57</v>
      </c>
      <c r="D130" s="151"/>
      <c r="E130" s="153"/>
      <c r="F130" s="151"/>
      <c r="G130" s="153"/>
      <c r="H130" s="151"/>
      <c r="I130" s="153"/>
      <c r="J130" s="151"/>
      <c r="K130" s="153"/>
      <c r="L130" s="151"/>
      <c r="M130" s="153"/>
      <c r="N130" s="151"/>
      <c r="O130" s="153"/>
      <c r="P130" s="151"/>
      <c r="Q130" s="153"/>
      <c r="R130" s="151"/>
      <c r="S130" s="153"/>
      <c r="T130" s="151"/>
      <c r="U130" s="153"/>
      <c r="V130" s="151"/>
      <c r="W130" s="153"/>
      <c r="X130" s="151"/>
      <c r="Y130" s="153"/>
      <c r="Z130" s="61">
        <f t="shared" si="24"/>
        <v>0</v>
      </c>
      <c r="AA130" s="75">
        <f t="shared" si="25"/>
        <v>0</v>
      </c>
      <c r="AB130" s="151"/>
      <c r="AC130" s="153"/>
      <c r="AD130" s="151">
        <v>500</v>
      </c>
      <c r="AE130" s="153">
        <v>150</v>
      </c>
      <c r="AF130" s="151">
        <v>400</v>
      </c>
      <c r="AG130" s="153">
        <v>350</v>
      </c>
      <c r="AH130" s="151"/>
      <c r="AI130" s="153"/>
      <c r="AJ130" s="151"/>
      <c r="AK130" s="153"/>
      <c r="AL130" s="151"/>
      <c r="AM130" s="153"/>
      <c r="AN130" s="151"/>
      <c r="AO130" s="153"/>
      <c r="AP130" s="61">
        <f t="shared" si="26"/>
        <v>900</v>
      </c>
      <c r="AQ130" s="75">
        <f t="shared" si="27"/>
        <v>500</v>
      </c>
      <c r="AR130" s="150" t="s">
        <v>58</v>
      </c>
    </row>
    <row r="131" spans="1:44" x14ac:dyDescent="0.25">
      <c r="A131" s="4" t="s">
        <v>149</v>
      </c>
      <c r="B131" s="4" t="s">
        <v>151</v>
      </c>
      <c r="C131" s="5" t="s">
        <v>152</v>
      </c>
      <c r="D131" s="151"/>
      <c r="E131" s="153"/>
      <c r="F131" s="151"/>
      <c r="G131" s="153"/>
      <c r="H131" s="151"/>
      <c r="I131" s="153"/>
      <c r="J131" s="151"/>
      <c r="K131" s="153"/>
      <c r="L131" s="151"/>
      <c r="M131" s="153"/>
      <c r="N131" s="151"/>
      <c r="O131" s="153"/>
      <c r="P131" s="151"/>
      <c r="Q131" s="153"/>
      <c r="R131" s="151"/>
      <c r="S131" s="153"/>
      <c r="T131" s="151"/>
      <c r="U131" s="153"/>
      <c r="V131" s="151"/>
      <c r="W131" s="153"/>
      <c r="X131" s="151"/>
      <c r="Y131" s="153"/>
      <c r="Z131" s="61">
        <f t="shared" si="24"/>
        <v>0</v>
      </c>
      <c r="AA131" s="75">
        <f t="shared" si="25"/>
        <v>0</v>
      </c>
      <c r="AB131" s="151"/>
      <c r="AC131" s="153"/>
      <c r="AD131" s="151">
        <v>711</v>
      </c>
      <c r="AE131" s="153">
        <v>0</v>
      </c>
      <c r="AF131" s="151"/>
      <c r="AG131" s="153"/>
      <c r="AH131" s="151"/>
      <c r="AI131" s="153"/>
      <c r="AJ131" s="151"/>
      <c r="AK131" s="153"/>
      <c r="AL131" s="151"/>
      <c r="AM131" s="153"/>
      <c r="AN131" s="151"/>
      <c r="AO131" s="153"/>
      <c r="AP131" s="61">
        <f t="shared" si="26"/>
        <v>711</v>
      </c>
      <c r="AQ131" s="75">
        <f t="shared" si="27"/>
        <v>0</v>
      </c>
      <c r="AR131" s="150"/>
    </row>
    <row r="132" spans="1:44" x14ac:dyDescent="0.25">
      <c r="A132" s="4" t="s">
        <v>149</v>
      </c>
      <c r="B132" s="4" t="s">
        <v>78</v>
      </c>
      <c r="C132" s="5" t="s">
        <v>79</v>
      </c>
      <c r="D132" s="143"/>
      <c r="E132" s="153"/>
      <c r="F132" s="143"/>
      <c r="G132" s="153">
        <v>400</v>
      </c>
      <c r="H132" s="143"/>
      <c r="I132" s="153">
        <v>1410</v>
      </c>
      <c r="J132" s="143"/>
      <c r="K132" s="153">
        <v>197</v>
      </c>
      <c r="L132" s="143"/>
      <c r="M132" s="153">
        <v>470</v>
      </c>
      <c r="N132" s="143"/>
      <c r="O132" s="153"/>
      <c r="P132" s="143"/>
      <c r="Q132" s="153"/>
      <c r="R132" s="143"/>
      <c r="S132" s="153"/>
      <c r="T132" s="143"/>
      <c r="U132" s="153"/>
      <c r="V132" s="143"/>
      <c r="W132" s="153"/>
      <c r="X132" s="143"/>
      <c r="Y132" s="153"/>
      <c r="Z132" s="61">
        <f t="shared" si="24"/>
        <v>0</v>
      </c>
      <c r="AA132" s="75">
        <f t="shared" si="25"/>
        <v>2477</v>
      </c>
      <c r="AB132" s="143"/>
      <c r="AC132" s="153"/>
      <c r="AD132" s="143"/>
      <c r="AE132" s="153">
        <v>320</v>
      </c>
      <c r="AF132" s="143"/>
      <c r="AG132" s="153"/>
      <c r="AH132" s="143"/>
      <c r="AI132" s="153"/>
      <c r="AJ132" s="143"/>
      <c r="AK132" s="153"/>
      <c r="AL132" s="143"/>
      <c r="AM132" s="153"/>
      <c r="AN132" s="143"/>
      <c r="AO132" s="153"/>
      <c r="AP132" s="61">
        <f t="shared" si="26"/>
        <v>0</v>
      </c>
      <c r="AQ132" s="75">
        <f t="shared" si="27"/>
        <v>2797</v>
      </c>
      <c r="AR132" s="150"/>
    </row>
    <row r="133" spans="1:44" x14ac:dyDescent="0.25">
      <c r="A133" s="4" t="s">
        <v>149</v>
      </c>
      <c r="B133" s="4" t="s">
        <v>98</v>
      </c>
      <c r="C133" s="5" t="s">
        <v>99</v>
      </c>
      <c r="D133" s="143"/>
      <c r="E133" s="153"/>
      <c r="F133" s="143">
        <v>175</v>
      </c>
      <c r="G133" s="153">
        <v>175</v>
      </c>
      <c r="H133" s="143">
        <v>650</v>
      </c>
      <c r="I133" s="153">
        <v>650</v>
      </c>
      <c r="J133" s="143">
        <v>40</v>
      </c>
      <c r="K133" s="153">
        <v>40</v>
      </c>
      <c r="L133" s="143">
        <v>217</v>
      </c>
      <c r="M133" s="153">
        <v>217</v>
      </c>
      <c r="N133" s="143">
        <v>15</v>
      </c>
      <c r="O133" s="153">
        <v>15</v>
      </c>
      <c r="P133" s="143"/>
      <c r="Q133" s="153"/>
      <c r="R133" s="143">
        <v>176</v>
      </c>
      <c r="S133" s="153">
        <v>150</v>
      </c>
      <c r="T133" s="143"/>
      <c r="U133" s="153"/>
      <c r="V133" s="143"/>
      <c r="W133" s="153"/>
      <c r="X133" s="143"/>
      <c r="Y133" s="153"/>
      <c r="Z133" s="61">
        <f t="shared" si="24"/>
        <v>1273</v>
      </c>
      <c r="AA133" s="75">
        <f t="shared" si="25"/>
        <v>1247</v>
      </c>
      <c r="AB133" s="143"/>
      <c r="AC133" s="153"/>
      <c r="AD133" s="143">
        <v>65</v>
      </c>
      <c r="AE133" s="153">
        <v>60</v>
      </c>
      <c r="AF133" s="143">
        <v>85</v>
      </c>
      <c r="AG133" s="153">
        <v>79</v>
      </c>
      <c r="AH133" s="143"/>
      <c r="AI133" s="153"/>
      <c r="AJ133" s="143"/>
      <c r="AK133" s="153"/>
      <c r="AL133" s="143"/>
      <c r="AM133" s="153"/>
      <c r="AN133" s="143"/>
      <c r="AO133" s="153"/>
      <c r="AP133" s="61">
        <f t="shared" si="26"/>
        <v>1423</v>
      </c>
      <c r="AQ133" s="75">
        <f t="shared" si="27"/>
        <v>1386</v>
      </c>
      <c r="AR133" s="150" t="s">
        <v>58</v>
      </c>
    </row>
    <row r="134" spans="1:44" x14ac:dyDescent="0.25">
      <c r="A134" s="4" t="s">
        <v>149</v>
      </c>
      <c r="B134" s="4" t="s">
        <v>143</v>
      </c>
      <c r="C134" s="5" t="s">
        <v>70</v>
      </c>
      <c r="D134" s="151">
        <v>13580</v>
      </c>
      <c r="E134" s="153">
        <v>14178</v>
      </c>
      <c r="F134" s="151"/>
      <c r="G134" s="153"/>
      <c r="H134" s="151"/>
      <c r="I134" s="153"/>
      <c r="J134" s="151"/>
      <c r="K134" s="153"/>
      <c r="L134" s="151"/>
      <c r="M134" s="153"/>
      <c r="N134" s="151"/>
      <c r="O134" s="153"/>
      <c r="P134" s="151"/>
      <c r="Q134" s="153"/>
      <c r="R134" s="151">
        <v>3979</v>
      </c>
      <c r="S134" s="153">
        <v>1989</v>
      </c>
      <c r="T134" s="151"/>
      <c r="U134" s="153"/>
      <c r="V134" s="151"/>
      <c r="W134" s="153"/>
      <c r="X134" s="151"/>
      <c r="Y134" s="153"/>
      <c r="Z134" s="61">
        <f t="shared" si="24"/>
        <v>17559</v>
      </c>
      <c r="AA134" s="75">
        <f t="shared" si="25"/>
        <v>16167</v>
      </c>
      <c r="AB134" s="151">
        <v>34</v>
      </c>
      <c r="AC134" s="153"/>
      <c r="AD134" s="151">
        <v>2550</v>
      </c>
      <c r="AE134" s="153">
        <v>2550</v>
      </c>
      <c r="AF134" s="151">
        <v>2610</v>
      </c>
      <c r="AG134" s="153">
        <v>750</v>
      </c>
      <c r="AH134" s="151"/>
      <c r="AI134" s="153"/>
      <c r="AJ134" s="151"/>
      <c r="AK134" s="153"/>
      <c r="AL134" s="151">
        <v>1000</v>
      </c>
      <c r="AM134" s="153"/>
      <c r="AN134" s="151"/>
      <c r="AO134" s="153"/>
      <c r="AP134" s="61">
        <f t="shared" si="26"/>
        <v>23753</v>
      </c>
      <c r="AQ134" s="75">
        <f t="shared" si="27"/>
        <v>19467</v>
      </c>
      <c r="AR134" s="150" t="s">
        <v>71</v>
      </c>
    </row>
    <row r="135" spans="1:44" x14ac:dyDescent="0.25">
      <c r="A135" s="4" t="s">
        <v>149</v>
      </c>
      <c r="B135" s="4" t="s">
        <v>126</v>
      </c>
      <c r="C135" s="5" t="s">
        <v>73</v>
      </c>
      <c r="D135" s="151">
        <v>9485</v>
      </c>
      <c r="E135" s="153">
        <v>10115</v>
      </c>
      <c r="F135" s="151">
        <v>510</v>
      </c>
      <c r="G135" s="153">
        <v>510</v>
      </c>
      <c r="H135" s="151">
        <v>954</v>
      </c>
      <c r="I135" s="153">
        <v>954</v>
      </c>
      <c r="J135" s="151">
        <v>45</v>
      </c>
      <c r="K135" s="153">
        <v>45</v>
      </c>
      <c r="L135" s="151">
        <v>610</v>
      </c>
      <c r="M135" s="153">
        <v>610</v>
      </c>
      <c r="N135" s="151">
        <v>15</v>
      </c>
      <c r="O135" s="153">
        <v>17</v>
      </c>
      <c r="P135" s="151"/>
      <c r="Q135" s="153"/>
      <c r="R135" s="151"/>
      <c r="S135" s="153"/>
      <c r="T135" s="151"/>
      <c r="U135" s="153"/>
      <c r="V135" s="151"/>
      <c r="W135" s="153"/>
      <c r="X135" s="151"/>
      <c r="Y135" s="153"/>
      <c r="Z135" s="61">
        <f t="shared" si="24"/>
        <v>11619</v>
      </c>
      <c r="AA135" s="75">
        <f t="shared" si="25"/>
        <v>12251</v>
      </c>
      <c r="AB135" s="151"/>
      <c r="AC135" s="153"/>
      <c r="AD135" s="151">
        <v>480</v>
      </c>
      <c r="AE135" s="153">
        <v>450</v>
      </c>
      <c r="AF135" s="151">
        <v>210</v>
      </c>
      <c r="AG135" s="153">
        <v>150</v>
      </c>
      <c r="AH135" s="151">
        <v>3350</v>
      </c>
      <c r="AI135" s="153">
        <v>3268</v>
      </c>
      <c r="AJ135" s="151"/>
      <c r="AK135" s="153"/>
      <c r="AL135" s="151"/>
      <c r="AM135" s="153"/>
      <c r="AN135" s="151"/>
      <c r="AO135" s="153"/>
      <c r="AP135" s="61">
        <f t="shared" si="26"/>
        <v>15659</v>
      </c>
      <c r="AQ135" s="75">
        <f t="shared" si="27"/>
        <v>16119</v>
      </c>
      <c r="AR135" s="150" t="s">
        <v>74</v>
      </c>
    </row>
    <row r="136" spans="1:44" x14ac:dyDescent="0.25">
      <c r="A136" s="4" t="s">
        <v>149</v>
      </c>
      <c r="B136" s="4" t="s">
        <v>77</v>
      </c>
      <c r="C136" s="5" t="s">
        <v>73</v>
      </c>
      <c r="D136" s="151">
        <v>32611</v>
      </c>
      <c r="E136" s="153">
        <v>32865</v>
      </c>
      <c r="F136" s="151">
        <v>405</v>
      </c>
      <c r="G136" s="153">
        <v>405</v>
      </c>
      <c r="H136" s="151">
        <v>3315</v>
      </c>
      <c r="I136" s="153">
        <v>3315</v>
      </c>
      <c r="J136" s="151">
        <v>110</v>
      </c>
      <c r="K136" s="153">
        <v>110</v>
      </c>
      <c r="L136" s="151">
        <v>1455</v>
      </c>
      <c r="M136" s="153">
        <v>1455</v>
      </c>
      <c r="N136" s="151">
        <v>230</v>
      </c>
      <c r="O136" s="153">
        <v>253</v>
      </c>
      <c r="P136" s="151">
        <v>480</v>
      </c>
      <c r="Q136" s="153">
        <v>480</v>
      </c>
      <c r="R136" s="151">
        <v>1081</v>
      </c>
      <c r="S136" s="153">
        <v>700</v>
      </c>
      <c r="T136" s="151"/>
      <c r="U136" s="153"/>
      <c r="V136" s="151"/>
      <c r="W136" s="153"/>
      <c r="X136" s="151"/>
      <c r="Y136" s="153"/>
      <c r="Z136" s="61">
        <f t="shared" si="24"/>
        <v>39687</v>
      </c>
      <c r="AA136" s="75">
        <f t="shared" si="25"/>
        <v>39583</v>
      </c>
      <c r="AB136" s="151">
        <v>120</v>
      </c>
      <c r="AC136" s="153"/>
      <c r="AD136" s="151">
        <v>6670</v>
      </c>
      <c r="AE136" s="153"/>
      <c r="AF136" s="151">
        <v>2775</v>
      </c>
      <c r="AG136" s="153"/>
      <c r="AH136" s="151"/>
      <c r="AI136" s="153"/>
      <c r="AJ136" s="151"/>
      <c r="AK136" s="153"/>
      <c r="AL136" s="151"/>
      <c r="AM136" s="153"/>
      <c r="AN136" s="151"/>
      <c r="AO136" s="153"/>
      <c r="AP136" s="61">
        <f t="shared" si="26"/>
        <v>49252</v>
      </c>
      <c r="AQ136" s="75">
        <f t="shared" si="27"/>
        <v>39583</v>
      </c>
      <c r="AR136" s="150" t="s">
        <v>74</v>
      </c>
    </row>
    <row r="137" spans="1:44" x14ac:dyDescent="0.25">
      <c r="A137" s="4" t="s">
        <v>149</v>
      </c>
      <c r="B137" s="4" t="s">
        <v>153</v>
      </c>
      <c r="C137" s="5" t="s">
        <v>79</v>
      </c>
      <c r="D137" s="151">
        <v>10736</v>
      </c>
      <c r="E137" s="153">
        <v>11019</v>
      </c>
      <c r="F137" s="151">
        <v>370</v>
      </c>
      <c r="G137" s="153">
        <v>370</v>
      </c>
      <c r="H137" s="151"/>
      <c r="I137" s="153"/>
      <c r="J137" s="151">
        <v>62</v>
      </c>
      <c r="K137" s="153">
        <v>62</v>
      </c>
      <c r="L137" s="151">
        <v>701</v>
      </c>
      <c r="M137" s="153">
        <v>701</v>
      </c>
      <c r="N137" s="151">
        <v>201</v>
      </c>
      <c r="O137" s="153">
        <v>221</v>
      </c>
      <c r="P137" s="151">
        <v>3387</v>
      </c>
      <c r="Q137" s="153">
        <v>3387</v>
      </c>
      <c r="R137" s="151">
        <v>70</v>
      </c>
      <c r="S137" s="153">
        <v>60</v>
      </c>
      <c r="T137" s="151"/>
      <c r="U137" s="153"/>
      <c r="V137" s="151"/>
      <c r="W137" s="153"/>
      <c r="X137" s="151"/>
      <c r="Y137" s="153"/>
      <c r="Z137" s="61">
        <f t="shared" si="24"/>
        <v>15527</v>
      </c>
      <c r="AA137" s="75">
        <f t="shared" si="25"/>
        <v>15820</v>
      </c>
      <c r="AB137" s="151">
        <v>50</v>
      </c>
      <c r="AC137" s="153"/>
      <c r="AD137" s="151">
        <v>1309</v>
      </c>
      <c r="AE137" s="153">
        <v>780</v>
      </c>
      <c r="AF137" s="151">
        <v>1200</v>
      </c>
      <c r="AG137" s="153">
        <v>820</v>
      </c>
      <c r="AH137" s="151"/>
      <c r="AI137" s="153"/>
      <c r="AJ137" s="151"/>
      <c r="AK137" s="153"/>
      <c r="AL137" s="151"/>
      <c r="AM137" s="153"/>
      <c r="AN137" s="151"/>
      <c r="AO137" s="153"/>
      <c r="AP137" s="61">
        <f t="shared" si="26"/>
        <v>18086</v>
      </c>
      <c r="AQ137" s="75">
        <f t="shared" si="27"/>
        <v>17420</v>
      </c>
      <c r="AR137" s="150" t="s">
        <v>128</v>
      </c>
    </row>
    <row r="138" spans="1:44" x14ac:dyDescent="0.25">
      <c r="A138" s="4" t="s">
        <v>149</v>
      </c>
      <c r="B138" s="4" t="s">
        <v>154</v>
      </c>
      <c r="C138" s="5" t="s">
        <v>82</v>
      </c>
      <c r="D138" s="151">
        <v>49899</v>
      </c>
      <c r="E138" s="153">
        <v>57143</v>
      </c>
      <c r="F138" s="151">
        <v>700</v>
      </c>
      <c r="G138" s="153">
        <v>630</v>
      </c>
      <c r="H138" s="151">
        <v>7841</v>
      </c>
      <c r="I138" s="153">
        <v>7841</v>
      </c>
      <c r="J138" s="151">
        <v>459</v>
      </c>
      <c r="K138" s="153">
        <v>1377</v>
      </c>
      <c r="L138" s="151">
        <v>5552</v>
      </c>
      <c r="M138" s="153">
        <v>5600</v>
      </c>
      <c r="N138" s="151">
        <v>1250</v>
      </c>
      <c r="O138" s="153">
        <v>1375</v>
      </c>
      <c r="P138" s="151"/>
      <c r="Q138" s="153"/>
      <c r="R138" s="151">
        <v>1090</v>
      </c>
      <c r="S138" s="153">
        <v>500</v>
      </c>
      <c r="T138" s="151">
        <v>11110</v>
      </c>
      <c r="U138" s="153">
        <v>10802</v>
      </c>
      <c r="V138" s="151"/>
      <c r="W138" s="153"/>
      <c r="X138" s="151"/>
      <c r="Y138" s="153"/>
      <c r="Z138" s="61">
        <f t="shared" si="24"/>
        <v>77901</v>
      </c>
      <c r="AA138" s="75">
        <f t="shared" si="25"/>
        <v>85268</v>
      </c>
      <c r="AB138" s="151">
        <v>50</v>
      </c>
      <c r="AC138" s="153"/>
      <c r="AD138" s="151">
        <v>5580</v>
      </c>
      <c r="AE138" s="153">
        <v>3500</v>
      </c>
      <c r="AF138" s="151">
        <v>6500</v>
      </c>
      <c r="AG138" s="153">
        <v>4650</v>
      </c>
      <c r="AH138" s="151"/>
      <c r="AI138" s="153"/>
      <c r="AJ138" s="151"/>
      <c r="AK138" s="153"/>
      <c r="AL138" s="151"/>
      <c r="AM138" s="153"/>
      <c r="AN138" s="151"/>
      <c r="AO138" s="153"/>
      <c r="AP138" s="61">
        <f t="shared" si="26"/>
        <v>90031</v>
      </c>
      <c r="AQ138" s="75">
        <f t="shared" si="27"/>
        <v>93418</v>
      </c>
      <c r="AR138" s="150" t="s">
        <v>128</v>
      </c>
    </row>
    <row r="139" spans="1:44" ht="26.25" x14ac:dyDescent="0.25">
      <c r="A139" s="4" t="s">
        <v>149</v>
      </c>
      <c r="B139" s="4" t="s">
        <v>83</v>
      </c>
      <c r="C139" s="5" t="s">
        <v>82</v>
      </c>
      <c r="D139" s="151">
        <f>52813+1050</f>
        <v>53863</v>
      </c>
      <c r="E139" s="153">
        <v>51156</v>
      </c>
      <c r="F139" s="151"/>
      <c r="G139" s="153"/>
      <c r="H139" s="151"/>
      <c r="I139" s="153"/>
      <c r="J139" s="151"/>
      <c r="K139" s="153"/>
      <c r="L139" s="151"/>
      <c r="M139" s="153"/>
      <c r="N139" s="151"/>
      <c r="O139" s="153"/>
      <c r="P139" s="151"/>
      <c r="Q139" s="153"/>
      <c r="R139" s="151"/>
      <c r="S139" s="153"/>
      <c r="T139" s="151"/>
      <c r="U139" s="153"/>
      <c r="V139" s="151"/>
      <c r="W139" s="153"/>
      <c r="X139" s="151"/>
      <c r="Y139" s="153"/>
      <c r="Z139" s="61">
        <f t="shared" si="24"/>
        <v>53863</v>
      </c>
      <c r="AA139" s="75">
        <f t="shared" si="25"/>
        <v>51156</v>
      </c>
      <c r="AB139" s="151"/>
      <c r="AC139" s="153"/>
      <c r="AD139" s="151"/>
      <c r="AE139" s="153"/>
      <c r="AF139" s="151"/>
      <c r="AG139" s="153"/>
      <c r="AH139" s="151"/>
      <c r="AI139" s="153"/>
      <c r="AJ139" s="151"/>
      <c r="AK139" s="153"/>
      <c r="AL139" s="151"/>
      <c r="AM139" s="153"/>
      <c r="AN139" s="151"/>
      <c r="AO139" s="153"/>
      <c r="AP139" s="61">
        <f t="shared" si="26"/>
        <v>53863</v>
      </c>
      <c r="AQ139" s="75">
        <f t="shared" si="27"/>
        <v>51156</v>
      </c>
      <c r="AR139" s="150" t="s">
        <v>128</v>
      </c>
    </row>
    <row r="140" spans="1:44" x14ac:dyDescent="0.25">
      <c r="A140" s="4" t="s">
        <v>149</v>
      </c>
      <c r="B140" s="4" t="s">
        <v>85</v>
      </c>
      <c r="C140" s="5" t="s">
        <v>86</v>
      </c>
      <c r="D140" s="151">
        <v>28635</v>
      </c>
      <c r="E140" s="153">
        <v>31590</v>
      </c>
      <c r="F140" s="151">
        <v>971</v>
      </c>
      <c r="G140" s="153">
        <v>971</v>
      </c>
      <c r="H140" s="151">
        <v>20555</v>
      </c>
      <c r="I140" s="153">
        <v>20555</v>
      </c>
      <c r="J140" s="151">
        <v>2550</v>
      </c>
      <c r="K140" s="153">
        <v>2500</v>
      </c>
      <c r="L140" s="151">
        <v>6550</v>
      </c>
      <c r="M140" s="153">
        <v>6450</v>
      </c>
      <c r="N140" s="151">
        <v>1504</v>
      </c>
      <c r="O140" s="153">
        <v>1632</v>
      </c>
      <c r="P140" s="151"/>
      <c r="Q140" s="153"/>
      <c r="R140" s="151">
        <v>2020</v>
      </c>
      <c r="S140" s="153">
        <v>1000</v>
      </c>
      <c r="T140" s="151">
        <v>3374</v>
      </c>
      <c r="U140" s="153">
        <v>3251</v>
      </c>
      <c r="V140" s="151"/>
      <c r="W140" s="153"/>
      <c r="X140" s="151"/>
      <c r="Y140" s="153"/>
      <c r="Z140" s="61">
        <f t="shared" si="24"/>
        <v>66159</v>
      </c>
      <c r="AA140" s="75">
        <f t="shared" si="25"/>
        <v>67949</v>
      </c>
      <c r="AB140" s="151">
        <v>546</v>
      </c>
      <c r="AC140" s="153"/>
      <c r="AD140" s="151">
        <v>13391</v>
      </c>
      <c r="AE140" s="153">
        <v>13000</v>
      </c>
      <c r="AF140" s="151">
        <v>12850</v>
      </c>
      <c r="AG140" s="153">
        <v>10551</v>
      </c>
      <c r="AH140" s="151"/>
      <c r="AI140" s="153"/>
      <c r="AJ140" s="151"/>
      <c r="AK140" s="153"/>
      <c r="AL140" s="151"/>
      <c r="AM140" s="153"/>
      <c r="AN140" s="151"/>
      <c r="AO140" s="153"/>
      <c r="AP140" s="61">
        <f t="shared" si="26"/>
        <v>92946</v>
      </c>
      <c r="AQ140" s="75">
        <f t="shared" si="27"/>
        <v>91500</v>
      </c>
      <c r="AR140" s="150" t="s">
        <v>128</v>
      </c>
    </row>
    <row r="141" spans="1:44" ht="26.25" x14ac:dyDescent="0.25">
      <c r="A141" s="4" t="s">
        <v>149</v>
      </c>
      <c r="B141" s="4" t="s">
        <v>88</v>
      </c>
      <c r="C141" s="5" t="s">
        <v>86</v>
      </c>
      <c r="D141" s="151"/>
      <c r="E141" s="153"/>
      <c r="F141" s="151"/>
      <c r="G141" s="153"/>
      <c r="H141" s="151"/>
      <c r="I141" s="153"/>
      <c r="J141" s="151"/>
      <c r="K141" s="153"/>
      <c r="L141" s="151"/>
      <c r="M141" s="153"/>
      <c r="N141" s="151"/>
      <c r="O141" s="153"/>
      <c r="P141" s="151"/>
      <c r="Q141" s="153"/>
      <c r="R141" s="151"/>
      <c r="S141" s="153"/>
      <c r="T141" s="151">
        <v>3067</v>
      </c>
      <c r="U141" s="153">
        <v>3272</v>
      </c>
      <c r="V141" s="151"/>
      <c r="W141" s="153"/>
      <c r="X141" s="151"/>
      <c r="Y141" s="153"/>
      <c r="Z141" s="61">
        <f t="shared" si="24"/>
        <v>3067</v>
      </c>
      <c r="AA141" s="75">
        <f t="shared" si="25"/>
        <v>3272</v>
      </c>
      <c r="AB141" s="151"/>
      <c r="AC141" s="153"/>
      <c r="AD141" s="151"/>
      <c r="AE141" s="153"/>
      <c r="AF141" s="151"/>
      <c r="AG141" s="153"/>
      <c r="AH141" s="151"/>
      <c r="AI141" s="153"/>
      <c r="AJ141" s="151"/>
      <c r="AK141" s="153"/>
      <c r="AL141" s="151"/>
      <c r="AM141" s="153"/>
      <c r="AN141" s="151"/>
      <c r="AO141" s="153"/>
      <c r="AP141" s="61">
        <f t="shared" si="26"/>
        <v>3067</v>
      </c>
      <c r="AQ141" s="75">
        <f t="shared" si="27"/>
        <v>3272</v>
      </c>
      <c r="AR141" s="150" t="s">
        <v>128</v>
      </c>
    </row>
    <row r="142" spans="1:44" ht="26.25" x14ac:dyDescent="0.25">
      <c r="A142" s="4" t="s">
        <v>149</v>
      </c>
      <c r="B142" s="4" t="s">
        <v>89</v>
      </c>
      <c r="C142" s="5" t="s">
        <v>86</v>
      </c>
      <c r="D142" s="151"/>
      <c r="E142" s="153"/>
      <c r="F142" s="151"/>
      <c r="G142" s="153"/>
      <c r="H142" s="151"/>
      <c r="I142" s="153"/>
      <c r="J142" s="151"/>
      <c r="K142" s="153"/>
      <c r="L142" s="151"/>
      <c r="M142" s="153"/>
      <c r="N142" s="151"/>
      <c r="O142" s="153"/>
      <c r="P142" s="151"/>
      <c r="Q142" s="153"/>
      <c r="R142" s="151"/>
      <c r="S142" s="153"/>
      <c r="T142" s="151">
        <v>3067</v>
      </c>
      <c r="U142" s="153">
        <v>3272</v>
      </c>
      <c r="V142" s="151"/>
      <c r="W142" s="153"/>
      <c r="X142" s="151"/>
      <c r="Y142" s="153"/>
      <c r="Z142" s="61">
        <f t="shared" si="24"/>
        <v>3067</v>
      </c>
      <c r="AA142" s="75">
        <f t="shared" si="25"/>
        <v>3272</v>
      </c>
      <c r="AB142" s="151"/>
      <c r="AC142" s="153"/>
      <c r="AD142" s="151"/>
      <c r="AE142" s="153"/>
      <c r="AF142" s="151"/>
      <c r="AG142" s="153"/>
      <c r="AH142" s="151"/>
      <c r="AI142" s="153"/>
      <c r="AJ142" s="151"/>
      <c r="AK142" s="153"/>
      <c r="AL142" s="151"/>
      <c r="AM142" s="153"/>
      <c r="AN142" s="151"/>
      <c r="AO142" s="153"/>
      <c r="AP142" s="61">
        <f t="shared" si="26"/>
        <v>3067</v>
      </c>
      <c r="AQ142" s="75">
        <f t="shared" si="27"/>
        <v>3272</v>
      </c>
      <c r="AR142" s="150" t="s">
        <v>128</v>
      </c>
    </row>
    <row r="143" spans="1:44" ht="26.25" x14ac:dyDescent="0.25">
      <c r="A143" s="4" t="s">
        <v>149</v>
      </c>
      <c r="B143" s="4" t="s">
        <v>155</v>
      </c>
      <c r="C143" s="7" t="s">
        <v>156</v>
      </c>
      <c r="D143" s="151"/>
      <c r="E143" s="153"/>
      <c r="F143" s="151"/>
      <c r="G143" s="153"/>
      <c r="H143" s="151"/>
      <c r="I143" s="153"/>
      <c r="J143" s="151"/>
      <c r="K143" s="153"/>
      <c r="L143" s="151"/>
      <c r="M143" s="153"/>
      <c r="N143" s="151"/>
      <c r="O143" s="153"/>
      <c r="P143" s="151"/>
      <c r="Q143" s="153"/>
      <c r="R143" s="151"/>
      <c r="S143" s="153"/>
      <c r="T143" s="151"/>
      <c r="U143" s="153"/>
      <c r="V143" s="151"/>
      <c r="W143" s="153"/>
      <c r="X143" s="151"/>
      <c r="Y143" s="153"/>
      <c r="Z143" s="61">
        <f t="shared" si="24"/>
        <v>0</v>
      </c>
      <c r="AA143" s="75">
        <f t="shared" si="25"/>
        <v>0</v>
      </c>
      <c r="AB143" s="151"/>
      <c r="AC143" s="153"/>
      <c r="AD143" s="151">
        <v>1800</v>
      </c>
      <c r="AE143" s="153">
        <v>1800</v>
      </c>
      <c r="AF143" s="151">
        <v>50</v>
      </c>
      <c r="AG143" s="153">
        <v>50</v>
      </c>
      <c r="AH143" s="151"/>
      <c r="AI143" s="153"/>
      <c r="AJ143" s="151"/>
      <c r="AK143" s="153"/>
      <c r="AL143" s="151"/>
      <c r="AM143" s="153"/>
      <c r="AN143" s="151"/>
      <c r="AO143" s="153"/>
      <c r="AP143" s="61">
        <f t="shared" si="26"/>
        <v>1850</v>
      </c>
      <c r="AQ143" s="75">
        <f t="shared" si="27"/>
        <v>1850</v>
      </c>
      <c r="AR143" s="150" t="s">
        <v>128</v>
      </c>
    </row>
    <row r="144" spans="1:44" ht="26.25" x14ac:dyDescent="0.25">
      <c r="A144" s="4" t="s">
        <v>149</v>
      </c>
      <c r="B144" s="4" t="s">
        <v>87</v>
      </c>
      <c r="C144" s="5" t="s">
        <v>86</v>
      </c>
      <c r="D144" s="151">
        <f>3862+56</f>
        <v>3918</v>
      </c>
      <c r="E144" s="153">
        <v>4647</v>
      </c>
      <c r="F144" s="151"/>
      <c r="G144" s="153"/>
      <c r="H144" s="151"/>
      <c r="I144" s="153"/>
      <c r="J144" s="151"/>
      <c r="K144" s="153"/>
      <c r="L144" s="151"/>
      <c r="M144" s="153"/>
      <c r="N144" s="151"/>
      <c r="O144" s="153"/>
      <c r="P144" s="151"/>
      <c r="Q144" s="153"/>
      <c r="R144" s="151"/>
      <c r="S144" s="153"/>
      <c r="T144" s="151"/>
      <c r="U144" s="153"/>
      <c r="V144" s="151"/>
      <c r="W144" s="153"/>
      <c r="X144" s="151"/>
      <c r="Y144" s="153"/>
      <c r="Z144" s="61">
        <f t="shared" si="24"/>
        <v>3918</v>
      </c>
      <c r="AA144" s="75">
        <f t="shared" si="25"/>
        <v>4647</v>
      </c>
      <c r="AB144" s="151"/>
      <c r="AC144" s="153"/>
      <c r="AD144" s="151"/>
      <c r="AE144" s="153"/>
      <c r="AF144" s="151"/>
      <c r="AG144" s="153"/>
      <c r="AH144" s="151"/>
      <c r="AI144" s="153"/>
      <c r="AJ144" s="151"/>
      <c r="AK144" s="153"/>
      <c r="AL144" s="151"/>
      <c r="AM144" s="153"/>
      <c r="AN144" s="151"/>
      <c r="AO144" s="153"/>
      <c r="AP144" s="61">
        <f t="shared" si="26"/>
        <v>3918</v>
      </c>
      <c r="AQ144" s="75">
        <f t="shared" si="27"/>
        <v>4647</v>
      </c>
      <c r="AR144" s="150" t="s">
        <v>128</v>
      </c>
    </row>
    <row r="145" spans="1:44" x14ac:dyDescent="0.25">
      <c r="A145" s="4" t="s">
        <v>149</v>
      </c>
      <c r="B145" s="4" t="s">
        <v>90</v>
      </c>
      <c r="C145" s="5" t="s">
        <v>86</v>
      </c>
      <c r="D145" s="151"/>
      <c r="E145" s="153"/>
      <c r="F145" s="151"/>
      <c r="G145" s="153"/>
      <c r="H145" s="151"/>
      <c r="I145" s="153"/>
      <c r="J145" s="151"/>
      <c r="K145" s="153"/>
      <c r="L145" s="151"/>
      <c r="M145" s="153"/>
      <c r="N145" s="151"/>
      <c r="O145" s="153"/>
      <c r="P145" s="151"/>
      <c r="Q145" s="153"/>
      <c r="R145" s="151"/>
      <c r="S145" s="153"/>
      <c r="T145" s="151">
        <v>2750</v>
      </c>
      <c r="U145" s="153">
        <v>2750</v>
      </c>
      <c r="V145" s="151"/>
      <c r="W145" s="153"/>
      <c r="X145" s="151"/>
      <c r="Y145" s="153"/>
      <c r="Z145" s="61">
        <f t="shared" si="24"/>
        <v>2750</v>
      </c>
      <c r="AA145" s="75">
        <f t="shared" si="25"/>
        <v>2750</v>
      </c>
      <c r="AB145" s="151"/>
      <c r="AC145" s="153"/>
      <c r="AD145" s="151"/>
      <c r="AE145" s="153"/>
      <c r="AF145" s="151"/>
      <c r="AG145" s="153"/>
      <c r="AH145" s="151"/>
      <c r="AI145" s="153"/>
      <c r="AJ145" s="151"/>
      <c r="AK145" s="153"/>
      <c r="AL145" s="151"/>
      <c r="AM145" s="153"/>
      <c r="AN145" s="151"/>
      <c r="AO145" s="153"/>
      <c r="AP145" s="61">
        <f t="shared" si="26"/>
        <v>2750</v>
      </c>
      <c r="AQ145" s="75">
        <f t="shared" si="27"/>
        <v>2750</v>
      </c>
      <c r="AR145" s="150" t="s">
        <v>128</v>
      </c>
    </row>
    <row r="146" spans="1:44" x14ac:dyDescent="0.25">
      <c r="A146" s="4" t="s">
        <v>149</v>
      </c>
      <c r="B146" s="4" t="s">
        <v>97</v>
      </c>
      <c r="C146" s="5" t="s">
        <v>96</v>
      </c>
      <c r="D146" s="151"/>
      <c r="E146" s="153"/>
      <c r="F146" s="151">
        <v>5</v>
      </c>
      <c r="G146" s="153">
        <v>5</v>
      </c>
      <c r="H146" s="151"/>
      <c r="I146" s="153"/>
      <c r="J146" s="151"/>
      <c r="K146" s="153"/>
      <c r="L146" s="151"/>
      <c r="M146" s="153"/>
      <c r="N146" s="151"/>
      <c r="O146" s="153"/>
      <c r="P146" s="151"/>
      <c r="Q146" s="153"/>
      <c r="R146" s="151">
        <v>14040</v>
      </c>
      <c r="S146" s="153">
        <v>14040</v>
      </c>
      <c r="T146" s="151"/>
      <c r="U146" s="153"/>
      <c r="V146" s="151">
        <v>16500</v>
      </c>
      <c r="W146" s="153">
        <v>16500</v>
      </c>
      <c r="X146" s="151"/>
      <c r="Y146" s="153"/>
      <c r="Z146" s="61">
        <f t="shared" si="24"/>
        <v>30545</v>
      </c>
      <c r="AA146" s="75">
        <f t="shared" si="25"/>
        <v>30545</v>
      </c>
      <c r="AB146" s="151"/>
      <c r="AC146" s="153"/>
      <c r="AD146" s="151"/>
      <c r="AE146" s="153"/>
      <c r="AF146" s="151"/>
      <c r="AG146" s="153"/>
      <c r="AH146" s="151"/>
      <c r="AI146" s="153"/>
      <c r="AJ146" s="151"/>
      <c r="AK146" s="153"/>
      <c r="AL146" s="151"/>
      <c r="AM146" s="153"/>
      <c r="AN146" s="151"/>
      <c r="AO146" s="153"/>
      <c r="AP146" s="61">
        <f t="shared" si="26"/>
        <v>30545</v>
      </c>
      <c r="AQ146" s="75">
        <f t="shared" si="27"/>
        <v>30545</v>
      </c>
      <c r="AR146" s="150" t="s">
        <v>128</v>
      </c>
    </row>
    <row r="147" spans="1:44" ht="26.25" x14ac:dyDescent="0.25">
      <c r="A147" s="4" t="s">
        <v>149</v>
      </c>
      <c r="B147" s="4" t="s">
        <v>157</v>
      </c>
      <c r="C147" s="5" t="s">
        <v>96</v>
      </c>
      <c r="D147" s="151"/>
      <c r="E147" s="153"/>
      <c r="F147" s="151"/>
      <c r="G147" s="153"/>
      <c r="H147" s="151"/>
      <c r="I147" s="153"/>
      <c r="J147" s="151"/>
      <c r="K147" s="153"/>
      <c r="L147" s="151"/>
      <c r="M147" s="153"/>
      <c r="N147" s="151"/>
      <c r="O147" s="153"/>
      <c r="P147" s="151"/>
      <c r="Q147" s="153"/>
      <c r="R147" s="151"/>
      <c r="S147" s="153"/>
      <c r="T147" s="151"/>
      <c r="U147" s="153"/>
      <c r="V147" s="151">
        <v>9800</v>
      </c>
      <c r="W147" s="153">
        <v>9800</v>
      </c>
      <c r="X147" s="151"/>
      <c r="Y147" s="153"/>
      <c r="Z147" s="61">
        <f t="shared" si="24"/>
        <v>9800</v>
      </c>
      <c r="AA147" s="75">
        <f t="shared" si="25"/>
        <v>9800</v>
      </c>
      <c r="AB147" s="151"/>
      <c r="AC147" s="153"/>
      <c r="AD147" s="151"/>
      <c r="AE147" s="153"/>
      <c r="AF147" s="151"/>
      <c r="AG147" s="153"/>
      <c r="AH147" s="151"/>
      <c r="AI147" s="153"/>
      <c r="AJ147" s="151"/>
      <c r="AK147" s="153"/>
      <c r="AL147" s="151"/>
      <c r="AM147" s="153"/>
      <c r="AN147" s="151"/>
      <c r="AO147" s="153"/>
      <c r="AP147" s="61">
        <f t="shared" si="26"/>
        <v>9800</v>
      </c>
      <c r="AQ147" s="75">
        <f t="shared" si="27"/>
        <v>9800</v>
      </c>
      <c r="AR147" s="150" t="s">
        <v>128</v>
      </c>
    </row>
    <row r="148" spans="1:44" ht="30" x14ac:dyDescent="0.25">
      <c r="A148" s="4" t="s">
        <v>149</v>
      </c>
      <c r="B148" s="4" t="s">
        <v>103</v>
      </c>
      <c r="C148" s="5" t="s">
        <v>104</v>
      </c>
      <c r="D148" s="151"/>
      <c r="E148" s="153"/>
      <c r="F148" s="151">
        <v>209</v>
      </c>
      <c r="G148" s="153">
        <v>200</v>
      </c>
      <c r="H148" s="151">
        <v>1715</v>
      </c>
      <c r="I148" s="153">
        <v>1715</v>
      </c>
      <c r="J148" s="151">
        <v>25</v>
      </c>
      <c r="K148" s="153">
        <v>25</v>
      </c>
      <c r="L148" s="151">
        <v>210</v>
      </c>
      <c r="M148" s="153">
        <v>200</v>
      </c>
      <c r="N148" s="151">
        <v>20</v>
      </c>
      <c r="O148" s="153">
        <v>20</v>
      </c>
      <c r="P148" s="151"/>
      <c r="Q148" s="153"/>
      <c r="R148" s="151">
        <v>1400</v>
      </c>
      <c r="S148" s="153">
        <v>1400</v>
      </c>
      <c r="T148" s="151"/>
      <c r="U148" s="153"/>
      <c r="V148" s="151"/>
      <c r="W148" s="153"/>
      <c r="X148" s="151"/>
      <c r="Y148" s="153"/>
      <c r="Z148" s="61">
        <f t="shared" si="24"/>
        <v>3579</v>
      </c>
      <c r="AA148" s="75">
        <f t="shared" si="25"/>
        <v>3560</v>
      </c>
      <c r="AB148" s="151"/>
      <c r="AC148" s="153"/>
      <c r="AD148" s="151">
        <v>490</v>
      </c>
      <c r="AE148" s="153">
        <v>480</v>
      </c>
      <c r="AF148" s="151">
        <v>550</v>
      </c>
      <c r="AG148" s="153">
        <v>450</v>
      </c>
      <c r="AH148" s="151"/>
      <c r="AI148" s="153"/>
      <c r="AJ148" s="151"/>
      <c r="AK148" s="153"/>
      <c r="AL148" s="151"/>
      <c r="AM148" s="153"/>
      <c r="AN148" s="151"/>
      <c r="AO148" s="153"/>
      <c r="AP148" s="61">
        <f t="shared" si="26"/>
        <v>4619</v>
      </c>
      <c r="AQ148" s="75">
        <f t="shared" si="27"/>
        <v>4490</v>
      </c>
      <c r="AR148" s="150" t="s">
        <v>102</v>
      </c>
    </row>
    <row r="149" spans="1:44" ht="30" x14ac:dyDescent="0.25">
      <c r="A149" s="4" t="s">
        <v>149</v>
      </c>
      <c r="B149" s="4" t="s">
        <v>158</v>
      </c>
      <c r="C149" s="5" t="s">
        <v>104</v>
      </c>
      <c r="D149" s="151"/>
      <c r="E149" s="153"/>
      <c r="F149" s="151"/>
      <c r="G149" s="153"/>
      <c r="H149" s="151">
        <v>760</v>
      </c>
      <c r="I149" s="153">
        <v>760</v>
      </c>
      <c r="J149" s="151"/>
      <c r="K149" s="153"/>
      <c r="L149" s="151"/>
      <c r="M149" s="153"/>
      <c r="N149" s="151"/>
      <c r="O149" s="153"/>
      <c r="P149" s="151"/>
      <c r="Q149" s="153"/>
      <c r="R149" s="151"/>
      <c r="S149" s="153"/>
      <c r="T149" s="151"/>
      <c r="U149" s="153"/>
      <c r="V149" s="151"/>
      <c r="W149" s="153"/>
      <c r="X149" s="151"/>
      <c r="Y149" s="153"/>
      <c r="Z149" s="61">
        <f t="shared" si="24"/>
        <v>760</v>
      </c>
      <c r="AA149" s="75">
        <f t="shared" si="25"/>
        <v>760</v>
      </c>
      <c r="AB149" s="151"/>
      <c r="AC149" s="153"/>
      <c r="AD149" s="151">
        <v>550</v>
      </c>
      <c r="AE149" s="153">
        <v>200</v>
      </c>
      <c r="AF149" s="151">
        <v>150</v>
      </c>
      <c r="AG149" s="153">
        <v>100</v>
      </c>
      <c r="AH149" s="151"/>
      <c r="AI149" s="153"/>
      <c r="AJ149" s="151"/>
      <c r="AK149" s="153"/>
      <c r="AL149" s="151"/>
      <c r="AM149" s="153"/>
      <c r="AN149" s="151"/>
      <c r="AO149" s="153"/>
      <c r="AP149" s="61">
        <f t="shared" si="26"/>
        <v>1460</v>
      </c>
      <c r="AQ149" s="75">
        <f t="shared" si="27"/>
        <v>1060</v>
      </c>
      <c r="AR149" s="150" t="s">
        <v>102</v>
      </c>
    </row>
    <row r="150" spans="1:44" ht="30" x14ac:dyDescent="0.25">
      <c r="A150" s="4" t="s">
        <v>149</v>
      </c>
      <c r="B150" s="4" t="s">
        <v>159</v>
      </c>
      <c r="C150" s="6" t="s">
        <v>104</v>
      </c>
      <c r="D150" s="151"/>
      <c r="E150" s="153"/>
      <c r="F150" s="151">
        <v>68</v>
      </c>
      <c r="G150" s="153">
        <v>68</v>
      </c>
      <c r="H150" s="151"/>
      <c r="I150" s="153"/>
      <c r="J150" s="151">
        <v>210</v>
      </c>
      <c r="K150" s="153">
        <v>210</v>
      </c>
      <c r="L150" s="151">
        <v>340</v>
      </c>
      <c r="M150" s="153">
        <v>340</v>
      </c>
      <c r="N150" s="151">
        <v>24</v>
      </c>
      <c r="O150" s="153">
        <v>24</v>
      </c>
      <c r="P150" s="151">
        <v>1125</v>
      </c>
      <c r="Q150" s="153">
        <v>1125</v>
      </c>
      <c r="R150" s="151">
        <v>200</v>
      </c>
      <c r="S150" s="153">
        <v>10</v>
      </c>
      <c r="T150" s="151"/>
      <c r="U150" s="153"/>
      <c r="V150" s="151"/>
      <c r="W150" s="153"/>
      <c r="X150" s="151"/>
      <c r="Y150" s="153"/>
      <c r="Z150" s="61">
        <f t="shared" si="24"/>
        <v>1967</v>
      </c>
      <c r="AA150" s="75">
        <f t="shared" si="25"/>
        <v>1777</v>
      </c>
      <c r="AB150" s="151"/>
      <c r="AC150" s="153"/>
      <c r="AD150" s="151">
        <v>326</v>
      </c>
      <c r="AE150" s="153">
        <v>326</v>
      </c>
      <c r="AF150" s="151">
        <v>495</v>
      </c>
      <c r="AG150" s="153">
        <v>490</v>
      </c>
      <c r="AH150" s="151"/>
      <c r="AI150" s="153"/>
      <c r="AJ150" s="151"/>
      <c r="AK150" s="153"/>
      <c r="AL150" s="151"/>
      <c r="AM150" s="153"/>
      <c r="AN150" s="151"/>
      <c r="AO150" s="153"/>
      <c r="AP150" s="61">
        <f t="shared" si="26"/>
        <v>2788</v>
      </c>
      <c r="AQ150" s="75">
        <f t="shared" si="27"/>
        <v>2593</v>
      </c>
      <c r="AR150" s="150" t="s">
        <v>102</v>
      </c>
    </row>
    <row r="151" spans="1:44" x14ac:dyDescent="0.25">
      <c r="A151" s="4" t="s">
        <v>149</v>
      </c>
      <c r="B151" s="4" t="s">
        <v>160</v>
      </c>
      <c r="C151" s="5" t="s">
        <v>60</v>
      </c>
      <c r="D151" s="151"/>
      <c r="E151" s="153"/>
      <c r="F151" s="151"/>
      <c r="G151" s="153"/>
      <c r="H151" s="151"/>
      <c r="I151" s="153"/>
      <c r="J151" s="151"/>
      <c r="K151" s="153"/>
      <c r="L151" s="151">
        <v>1035</v>
      </c>
      <c r="M151" s="153">
        <v>1035</v>
      </c>
      <c r="N151" s="151"/>
      <c r="O151" s="153"/>
      <c r="P151" s="151">
        <v>6040</v>
      </c>
      <c r="Q151" s="153">
        <v>6050</v>
      </c>
      <c r="R151" s="151"/>
      <c r="S151" s="153"/>
      <c r="T151" s="151"/>
      <c r="U151" s="153"/>
      <c r="V151" s="151"/>
      <c r="W151" s="153"/>
      <c r="X151" s="151"/>
      <c r="Y151" s="153"/>
      <c r="Z151" s="61">
        <f t="shared" si="24"/>
        <v>7075</v>
      </c>
      <c r="AA151" s="75">
        <f t="shared" si="25"/>
        <v>7085</v>
      </c>
      <c r="AB151" s="151"/>
      <c r="AC151" s="153"/>
      <c r="AD151" s="151">
        <v>2160</v>
      </c>
      <c r="AE151" s="153">
        <v>2160</v>
      </c>
      <c r="AF151" s="151">
        <v>1250</v>
      </c>
      <c r="AG151" s="153">
        <v>1000</v>
      </c>
      <c r="AH151" s="151"/>
      <c r="AI151" s="153"/>
      <c r="AJ151" s="151"/>
      <c r="AK151" s="153"/>
      <c r="AL151" s="151"/>
      <c r="AM151" s="153"/>
      <c r="AN151" s="151"/>
      <c r="AO151" s="153"/>
      <c r="AP151" s="61">
        <f t="shared" si="26"/>
        <v>10485</v>
      </c>
      <c r="AQ151" s="75">
        <f t="shared" si="27"/>
        <v>10245</v>
      </c>
      <c r="AR151" s="150" t="s">
        <v>161</v>
      </c>
    </row>
    <row r="152" spans="1:44" x14ac:dyDescent="0.25">
      <c r="A152" s="4" t="s">
        <v>149</v>
      </c>
      <c r="B152" s="4" t="s">
        <v>162</v>
      </c>
      <c r="C152" s="5" t="s">
        <v>60</v>
      </c>
      <c r="D152" s="151"/>
      <c r="E152" s="153"/>
      <c r="F152" s="151"/>
      <c r="G152" s="153"/>
      <c r="H152" s="151"/>
      <c r="I152" s="153"/>
      <c r="J152" s="151"/>
      <c r="K152" s="153"/>
      <c r="L152" s="151"/>
      <c r="M152" s="153"/>
      <c r="N152" s="151">
        <v>400</v>
      </c>
      <c r="O152" s="153">
        <v>440</v>
      </c>
      <c r="P152" s="151"/>
      <c r="Q152" s="153"/>
      <c r="R152" s="151">
        <v>550</v>
      </c>
      <c r="S152" s="153">
        <v>550</v>
      </c>
      <c r="T152" s="151"/>
      <c r="U152" s="153"/>
      <c r="V152" s="151"/>
      <c r="W152" s="153"/>
      <c r="X152" s="151"/>
      <c r="Y152" s="153"/>
      <c r="Z152" s="61">
        <f t="shared" si="24"/>
        <v>950</v>
      </c>
      <c r="AA152" s="75">
        <f t="shared" si="25"/>
        <v>990</v>
      </c>
      <c r="AB152" s="151"/>
      <c r="AC152" s="153"/>
      <c r="AD152" s="151">
        <v>10055</v>
      </c>
      <c r="AE152" s="153">
        <v>10055</v>
      </c>
      <c r="AF152" s="151">
        <v>5850</v>
      </c>
      <c r="AG152" s="153">
        <v>5850</v>
      </c>
      <c r="AH152" s="151"/>
      <c r="AI152" s="153"/>
      <c r="AJ152" s="151"/>
      <c r="AK152" s="153"/>
      <c r="AL152" s="151"/>
      <c r="AM152" s="153"/>
      <c r="AN152" s="151"/>
      <c r="AO152" s="153"/>
      <c r="AP152" s="61">
        <f t="shared" si="26"/>
        <v>16855</v>
      </c>
      <c r="AQ152" s="75">
        <f t="shared" si="27"/>
        <v>16895</v>
      </c>
      <c r="AR152" s="150" t="s">
        <v>163</v>
      </c>
    </row>
    <row r="153" spans="1:44" x14ac:dyDescent="0.25">
      <c r="A153" s="4" t="s">
        <v>149</v>
      </c>
      <c r="B153" s="4" t="s">
        <v>164</v>
      </c>
      <c r="C153" s="7" t="s">
        <v>165</v>
      </c>
      <c r="D153" s="151"/>
      <c r="E153" s="153"/>
      <c r="F153" s="151"/>
      <c r="G153" s="153"/>
      <c r="H153" s="151">
        <v>1800</v>
      </c>
      <c r="I153" s="153">
        <v>1800</v>
      </c>
      <c r="J153" s="151"/>
      <c r="K153" s="153"/>
      <c r="L153" s="151"/>
      <c r="M153" s="153"/>
      <c r="N153" s="151"/>
      <c r="O153" s="153"/>
      <c r="P153" s="151"/>
      <c r="Q153" s="153"/>
      <c r="R153" s="151"/>
      <c r="S153" s="153"/>
      <c r="T153" s="151"/>
      <c r="U153" s="153"/>
      <c r="V153" s="151"/>
      <c r="W153" s="153"/>
      <c r="X153" s="151"/>
      <c r="Y153" s="153"/>
      <c r="Z153" s="61">
        <f t="shared" si="24"/>
        <v>1800</v>
      </c>
      <c r="AA153" s="75">
        <f t="shared" si="25"/>
        <v>1800</v>
      </c>
      <c r="AB153" s="151"/>
      <c r="AC153" s="153"/>
      <c r="AD153" s="151">
        <v>7980</v>
      </c>
      <c r="AE153" s="153">
        <v>7980</v>
      </c>
      <c r="AF153" s="151"/>
      <c r="AG153" s="153"/>
      <c r="AH153" s="151"/>
      <c r="AI153" s="153"/>
      <c r="AJ153" s="151"/>
      <c r="AK153" s="153"/>
      <c r="AL153" s="151"/>
      <c r="AM153" s="153"/>
      <c r="AN153" s="151"/>
      <c r="AO153" s="153"/>
      <c r="AP153" s="61">
        <f t="shared" si="26"/>
        <v>9780</v>
      </c>
      <c r="AQ153" s="75">
        <f t="shared" si="27"/>
        <v>9780</v>
      </c>
      <c r="AR153" s="150" t="s">
        <v>166</v>
      </c>
    </row>
    <row r="154" spans="1:44" ht="26.25" x14ac:dyDescent="0.25">
      <c r="A154" s="4" t="s">
        <v>149</v>
      </c>
      <c r="B154" s="4" t="s">
        <v>65</v>
      </c>
      <c r="C154" s="6" t="s">
        <v>60</v>
      </c>
      <c r="D154" s="151">
        <v>147776</v>
      </c>
      <c r="E154" s="153">
        <v>161374</v>
      </c>
      <c r="F154" s="151">
        <v>15</v>
      </c>
      <c r="G154" s="153">
        <v>15</v>
      </c>
      <c r="H154" s="151"/>
      <c r="I154" s="153"/>
      <c r="J154" s="151"/>
      <c r="K154" s="153"/>
      <c r="L154" s="151"/>
      <c r="M154" s="153"/>
      <c r="N154" s="151"/>
      <c r="O154" s="153"/>
      <c r="P154" s="151"/>
      <c r="Q154" s="153"/>
      <c r="R154" s="151">
        <v>2550</v>
      </c>
      <c r="S154" s="153">
        <v>2550</v>
      </c>
      <c r="T154" s="151"/>
      <c r="U154" s="153"/>
      <c r="V154" s="151"/>
      <c r="W154" s="153"/>
      <c r="X154" s="151"/>
      <c r="Y154" s="153"/>
      <c r="Z154" s="61">
        <f t="shared" si="24"/>
        <v>150341</v>
      </c>
      <c r="AA154" s="75">
        <f t="shared" si="25"/>
        <v>163939</v>
      </c>
      <c r="AB154" s="151"/>
      <c r="AC154" s="153"/>
      <c r="AD154" s="151">
        <v>3150</v>
      </c>
      <c r="AE154" s="153">
        <v>3150</v>
      </c>
      <c r="AF154" s="151">
        <v>7150</v>
      </c>
      <c r="AG154" s="153">
        <v>7150</v>
      </c>
      <c r="AH154" s="151"/>
      <c r="AI154" s="153"/>
      <c r="AJ154" s="151"/>
      <c r="AK154" s="153"/>
      <c r="AL154" s="151"/>
      <c r="AM154" s="153"/>
      <c r="AN154" s="151">
        <v>250</v>
      </c>
      <c r="AO154" s="153">
        <v>250</v>
      </c>
      <c r="AP154" s="61">
        <f t="shared" si="26"/>
        <v>160891</v>
      </c>
      <c r="AQ154" s="75">
        <f t="shared" si="27"/>
        <v>174489</v>
      </c>
      <c r="AR154" s="150" t="s">
        <v>167</v>
      </c>
    </row>
    <row r="155" spans="1:44" ht="26.25" x14ac:dyDescent="0.25">
      <c r="A155" s="4" t="s">
        <v>149</v>
      </c>
      <c r="B155" s="4" t="s">
        <v>168</v>
      </c>
      <c r="C155" s="5" t="s">
        <v>60</v>
      </c>
      <c r="D155" s="151"/>
      <c r="E155" s="153"/>
      <c r="F155" s="151"/>
      <c r="G155" s="153"/>
      <c r="H155" s="151"/>
      <c r="I155" s="153"/>
      <c r="J155" s="151"/>
      <c r="K155" s="153"/>
      <c r="L155" s="151">
        <v>490</v>
      </c>
      <c r="M155" s="153">
        <v>408</v>
      </c>
      <c r="N155" s="151"/>
      <c r="O155" s="153"/>
      <c r="P155" s="151"/>
      <c r="Q155" s="153"/>
      <c r="R155" s="151"/>
      <c r="S155" s="153"/>
      <c r="T155" s="151"/>
      <c r="U155" s="153"/>
      <c r="V155" s="151"/>
      <c r="W155" s="153"/>
      <c r="X155" s="151"/>
      <c r="Y155" s="153"/>
      <c r="Z155" s="61">
        <f t="shared" si="24"/>
        <v>490</v>
      </c>
      <c r="AA155" s="75">
        <f t="shared" si="25"/>
        <v>408</v>
      </c>
      <c r="AB155" s="151"/>
      <c r="AC155" s="153"/>
      <c r="AD155" s="151">
        <v>1050</v>
      </c>
      <c r="AE155" s="153">
        <v>1050</v>
      </c>
      <c r="AF155" s="151">
        <v>960</v>
      </c>
      <c r="AG155" s="153">
        <v>960</v>
      </c>
      <c r="AH155" s="151"/>
      <c r="AI155" s="153"/>
      <c r="AJ155" s="151"/>
      <c r="AK155" s="153"/>
      <c r="AL155" s="151"/>
      <c r="AM155" s="153"/>
      <c r="AN155" s="151"/>
      <c r="AO155" s="153"/>
      <c r="AP155" s="61">
        <f t="shared" si="26"/>
        <v>2500</v>
      </c>
      <c r="AQ155" s="75">
        <f t="shared" si="27"/>
        <v>2418</v>
      </c>
      <c r="AR155" s="150" t="s">
        <v>169</v>
      </c>
    </row>
    <row r="156" spans="1:44" x14ac:dyDescent="0.25">
      <c r="A156" s="4" t="s">
        <v>149</v>
      </c>
      <c r="B156" s="4" t="s">
        <v>170</v>
      </c>
      <c r="C156" s="5" t="s">
        <v>60</v>
      </c>
      <c r="D156" s="151"/>
      <c r="E156" s="153"/>
      <c r="F156" s="151"/>
      <c r="G156" s="153"/>
      <c r="H156" s="151"/>
      <c r="I156" s="153"/>
      <c r="J156" s="151"/>
      <c r="K156" s="153"/>
      <c r="L156" s="151">
        <v>35</v>
      </c>
      <c r="M156" s="153">
        <v>35</v>
      </c>
      <c r="N156" s="151">
        <v>288</v>
      </c>
      <c r="O156" s="153">
        <v>316</v>
      </c>
      <c r="P156" s="151"/>
      <c r="Q156" s="153"/>
      <c r="R156" s="151"/>
      <c r="S156" s="153"/>
      <c r="T156" s="151"/>
      <c r="U156" s="153"/>
      <c r="V156" s="151"/>
      <c r="W156" s="153"/>
      <c r="X156" s="151"/>
      <c r="Y156" s="153"/>
      <c r="Z156" s="61">
        <f t="shared" si="24"/>
        <v>323</v>
      </c>
      <c r="AA156" s="75">
        <f t="shared" si="25"/>
        <v>351</v>
      </c>
      <c r="AB156" s="151"/>
      <c r="AC156" s="153"/>
      <c r="AD156" s="151">
        <v>3250</v>
      </c>
      <c r="AE156" s="153">
        <v>3250</v>
      </c>
      <c r="AF156" s="151">
        <v>230</v>
      </c>
      <c r="AG156" s="153">
        <v>230</v>
      </c>
      <c r="AH156" s="151"/>
      <c r="AI156" s="153"/>
      <c r="AJ156" s="151"/>
      <c r="AK156" s="153"/>
      <c r="AL156" s="151"/>
      <c r="AM156" s="153"/>
      <c r="AN156" s="151"/>
      <c r="AO156" s="153"/>
      <c r="AP156" s="61">
        <f t="shared" si="26"/>
        <v>3803</v>
      </c>
      <c r="AQ156" s="75">
        <f t="shared" si="27"/>
        <v>3831</v>
      </c>
      <c r="AR156" s="150"/>
    </row>
    <row r="157" spans="1:44" ht="26.25" x14ac:dyDescent="0.25">
      <c r="A157" s="4" t="s">
        <v>149</v>
      </c>
      <c r="B157" s="4" t="s">
        <v>62</v>
      </c>
      <c r="C157" s="5" t="s">
        <v>60</v>
      </c>
      <c r="D157" s="151"/>
      <c r="E157" s="153"/>
      <c r="F157" s="151"/>
      <c r="G157" s="153"/>
      <c r="H157" s="151"/>
      <c r="I157" s="153"/>
      <c r="J157" s="151"/>
      <c r="K157" s="153"/>
      <c r="L157" s="151">
        <v>6110</v>
      </c>
      <c r="M157" s="153">
        <v>6110</v>
      </c>
      <c r="N157" s="151"/>
      <c r="O157" s="153"/>
      <c r="P157" s="151"/>
      <c r="Q157" s="153"/>
      <c r="R157" s="151"/>
      <c r="S157" s="153"/>
      <c r="T157" s="151"/>
      <c r="U157" s="153"/>
      <c r="V157" s="151"/>
      <c r="W157" s="153"/>
      <c r="X157" s="151"/>
      <c r="Y157" s="153"/>
      <c r="Z157" s="61">
        <f t="shared" si="24"/>
        <v>6110</v>
      </c>
      <c r="AA157" s="75">
        <f t="shared" si="25"/>
        <v>6110</v>
      </c>
      <c r="AB157" s="151"/>
      <c r="AC157" s="153"/>
      <c r="AD157" s="151">
        <v>17014</v>
      </c>
      <c r="AE157" s="153">
        <f>26130-M157-AG157</f>
        <v>17520</v>
      </c>
      <c r="AF157" s="151">
        <v>2500</v>
      </c>
      <c r="AG157" s="153">
        <v>2500</v>
      </c>
      <c r="AH157" s="151"/>
      <c r="AI157" s="153"/>
      <c r="AJ157" s="151"/>
      <c r="AK157" s="153"/>
      <c r="AL157" s="151"/>
      <c r="AM157" s="153"/>
      <c r="AN157" s="151"/>
      <c r="AO157" s="153"/>
      <c r="AP157" s="61">
        <f t="shared" si="26"/>
        <v>25624</v>
      </c>
      <c r="AQ157" s="75">
        <f t="shared" si="27"/>
        <v>26130</v>
      </c>
      <c r="AR157" s="150" t="s">
        <v>171</v>
      </c>
    </row>
    <row r="158" spans="1:44" x14ac:dyDescent="0.25">
      <c r="A158" s="4" t="s">
        <v>149</v>
      </c>
      <c r="B158" s="4" t="s">
        <v>64</v>
      </c>
      <c r="C158" s="7" t="s">
        <v>60</v>
      </c>
      <c r="D158" s="45"/>
      <c r="E158" s="72"/>
      <c r="F158" s="45"/>
      <c r="G158" s="72"/>
      <c r="H158" s="45"/>
      <c r="I158" s="72"/>
      <c r="J158" s="45"/>
      <c r="K158" s="72"/>
      <c r="L158" s="45"/>
      <c r="M158" s="72"/>
      <c r="N158" s="45"/>
      <c r="O158" s="72"/>
      <c r="P158" s="45"/>
      <c r="Q158" s="72"/>
      <c r="R158" s="45"/>
      <c r="S158" s="72"/>
      <c r="T158" s="45"/>
      <c r="U158" s="72"/>
      <c r="V158" s="45"/>
      <c r="W158" s="72"/>
      <c r="X158" s="151"/>
      <c r="Y158" s="153"/>
      <c r="Z158" s="61">
        <f t="shared" si="24"/>
        <v>0</v>
      </c>
      <c r="AA158" s="75">
        <f t="shared" si="25"/>
        <v>0</v>
      </c>
      <c r="AB158" s="45"/>
      <c r="AC158" s="72"/>
      <c r="AD158" s="28">
        <v>41018</v>
      </c>
      <c r="AE158" s="153">
        <v>40261</v>
      </c>
      <c r="AF158" s="45"/>
      <c r="AG158" s="72"/>
      <c r="AH158" s="45"/>
      <c r="AI158" s="72"/>
      <c r="AJ158" s="45"/>
      <c r="AK158" s="72"/>
      <c r="AL158" s="45"/>
      <c r="AM158" s="72"/>
      <c r="AN158" s="45"/>
      <c r="AO158" s="72"/>
      <c r="AP158" s="61">
        <f t="shared" si="26"/>
        <v>41018</v>
      </c>
      <c r="AQ158" s="75">
        <f t="shared" si="27"/>
        <v>40261</v>
      </c>
      <c r="AR158" s="150" t="s">
        <v>171</v>
      </c>
    </row>
    <row r="159" spans="1:44" x14ac:dyDescent="0.25">
      <c r="A159" s="4" t="s">
        <v>149</v>
      </c>
      <c r="B159" s="4" t="s">
        <v>172</v>
      </c>
      <c r="C159" s="7" t="s">
        <v>173</v>
      </c>
      <c r="D159" s="151"/>
      <c r="E159" s="153"/>
      <c r="F159" s="151"/>
      <c r="G159" s="153"/>
      <c r="H159" s="151"/>
      <c r="I159" s="153"/>
      <c r="J159" s="151"/>
      <c r="K159" s="153"/>
      <c r="L159" s="151"/>
      <c r="M159" s="153"/>
      <c r="N159" s="151"/>
      <c r="O159" s="153"/>
      <c r="P159" s="151"/>
      <c r="Q159" s="153"/>
      <c r="R159" s="151"/>
      <c r="S159" s="153"/>
      <c r="T159" s="151"/>
      <c r="U159" s="153"/>
      <c r="V159" s="151"/>
      <c r="W159" s="153"/>
      <c r="X159" s="151"/>
      <c r="Y159" s="153"/>
      <c r="Z159" s="61">
        <f t="shared" si="24"/>
        <v>0</v>
      </c>
      <c r="AA159" s="75">
        <f t="shared" si="25"/>
        <v>0</v>
      </c>
      <c r="AB159" s="151"/>
      <c r="AC159" s="153"/>
      <c r="AD159" s="151">
        <v>950</v>
      </c>
      <c r="AE159" s="153">
        <v>300</v>
      </c>
      <c r="AF159" s="151"/>
      <c r="AG159" s="153"/>
      <c r="AH159" s="151"/>
      <c r="AI159" s="153"/>
      <c r="AJ159" s="151"/>
      <c r="AK159" s="153"/>
      <c r="AL159" s="151"/>
      <c r="AM159" s="153"/>
      <c r="AN159" s="151"/>
      <c r="AO159" s="153"/>
      <c r="AP159" s="61">
        <f t="shared" si="26"/>
        <v>950</v>
      </c>
      <c r="AQ159" s="75">
        <f t="shared" si="27"/>
        <v>300</v>
      </c>
      <c r="AR159" s="150"/>
    </row>
    <row r="160" spans="1:44" x14ac:dyDescent="0.25">
      <c r="A160" s="4" t="s">
        <v>149</v>
      </c>
      <c r="B160" s="4" t="s">
        <v>91</v>
      </c>
      <c r="C160" s="5" t="s">
        <v>86</v>
      </c>
      <c r="D160" s="151">
        <v>110872</v>
      </c>
      <c r="E160" s="153">
        <v>115800</v>
      </c>
      <c r="F160" s="151"/>
      <c r="G160" s="153"/>
      <c r="H160" s="151"/>
      <c r="I160" s="153"/>
      <c r="J160" s="151"/>
      <c r="K160" s="153"/>
      <c r="L160" s="151"/>
      <c r="M160" s="153"/>
      <c r="N160" s="151"/>
      <c r="O160" s="153"/>
      <c r="P160" s="151"/>
      <c r="Q160" s="153"/>
      <c r="R160" s="151"/>
      <c r="S160" s="153"/>
      <c r="T160" s="151"/>
      <c r="U160" s="153"/>
      <c r="V160" s="151"/>
      <c r="W160" s="153"/>
      <c r="X160" s="151"/>
      <c r="Y160" s="153"/>
      <c r="Z160" s="61">
        <f t="shared" si="24"/>
        <v>110872</v>
      </c>
      <c r="AA160" s="75">
        <f t="shared" si="25"/>
        <v>115800</v>
      </c>
      <c r="AB160" s="151"/>
      <c r="AC160" s="153"/>
      <c r="AD160" s="151"/>
      <c r="AE160" s="153"/>
      <c r="AF160" s="151"/>
      <c r="AG160" s="153"/>
      <c r="AH160" s="151"/>
      <c r="AI160" s="153"/>
      <c r="AJ160" s="151"/>
      <c r="AK160" s="153"/>
      <c r="AL160" s="151"/>
      <c r="AM160" s="153"/>
      <c r="AN160" s="151"/>
      <c r="AO160" s="153"/>
      <c r="AP160" s="61">
        <f t="shared" si="26"/>
        <v>110872</v>
      </c>
      <c r="AQ160" s="75">
        <f t="shared" si="27"/>
        <v>115800</v>
      </c>
      <c r="AR160" s="150" t="s">
        <v>128</v>
      </c>
    </row>
    <row r="161" spans="1:44" ht="26.25" x14ac:dyDescent="0.25">
      <c r="A161" s="4" t="s">
        <v>149</v>
      </c>
      <c r="B161" s="4" t="s">
        <v>92</v>
      </c>
      <c r="C161" s="5" t="s">
        <v>93</v>
      </c>
      <c r="D161" s="151">
        <v>4080</v>
      </c>
      <c r="E161" s="153">
        <v>4827</v>
      </c>
      <c r="F161" s="151"/>
      <c r="G161" s="153"/>
      <c r="H161" s="151"/>
      <c r="I161" s="153"/>
      <c r="J161" s="151"/>
      <c r="K161" s="153"/>
      <c r="L161" s="151"/>
      <c r="M161" s="153"/>
      <c r="N161" s="151"/>
      <c r="O161" s="153"/>
      <c r="P161" s="151"/>
      <c r="Q161" s="153"/>
      <c r="R161" s="151"/>
      <c r="S161" s="153"/>
      <c r="T161" s="151"/>
      <c r="U161" s="153"/>
      <c r="V161" s="151"/>
      <c r="W161" s="153"/>
      <c r="X161" s="151"/>
      <c r="Y161" s="153"/>
      <c r="Z161" s="61">
        <f t="shared" si="24"/>
        <v>4080</v>
      </c>
      <c r="AA161" s="75">
        <f t="shared" si="25"/>
        <v>4827</v>
      </c>
      <c r="AB161" s="151"/>
      <c r="AC161" s="153"/>
      <c r="AD161" s="151"/>
      <c r="AE161" s="153"/>
      <c r="AF161" s="151"/>
      <c r="AG161" s="153"/>
      <c r="AH161" s="151"/>
      <c r="AI161" s="153"/>
      <c r="AJ161" s="151"/>
      <c r="AK161" s="153"/>
      <c r="AL161" s="151"/>
      <c r="AM161" s="153"/>
      <c r="AN161" s="151"/>
      <c r="AO161" s="153"/>
      <c r="AP161" s="61">
        <f t="shared" si="26"/>
        <v>4080</v>
      </c>
      <c r="AQ161" s="75">
        <f t="shared" si="27"/>
        <v>4827</v>
      </c>
      <c r="AR161" s="150" t="s">
        <v>128</v>
      </c>
    </row>
    <row r="162" spans="1:44" ht="26.25" x14ac:dyDescent="0.25">
      <c r="A162" s="4" t="s">
        <v>149</v>
      </c>
      <c r="B162" s="4" t="s">
        <v>84</v>
      </c>
      <c r="C162" s="5" t="s">
        <v>82</v>
      </c>
      <c r="D162" s="151">
        <v>26032</v>
      </c>
      <c r="E162" s="153">
        <v>29016</v>
      </c>
      <c r="F162" s="151"/>
      <c r="G162" s="153"/>
      <c r="H162" s="151"/>
      <c r="I162" s="153"/>
      <c r="J162" s="151"/>
      <c r="K162" s="153"/>
      <c r="L162" s="151"/>
      <c r="M162" s="153"/>
      <c r="N162" s="151"/>
      <c r="O162" s="153"/>
      <c r="P162" s="151"/>
      <c r="Q162" s="153"/>
      <c r="R162" s="151"/>
      <c r="S162" s="153"/>
      <c r="T162" s="151"/>
      <c r="U162" s="153"/>
      <c r="V162" s="151"/>
      <c r="W162" s="153"/>
      <c r="X162" s="151"/>
      <c r="Y162" s="153"/>
      <c r="Z162" s="61">
        <f t="shared" si="24"/>
        <v>26032</v>
      </c>
      <c r="AA162" s="75">
        <f t="shared" si="25"/>
        <v>29016</v>
      </c>
      <c r="AB162" s="151"/>
      <c r="AC162" s="153"/>
      <c r="AD162" s="151"/>
      <c r="AE162" s="153"/>
      <c r="AF162" s="151"/>
      <c r="AG162" s="153"/>
      <c r="AH162" s="151"/>
      <c r="AI162" s="153"/>
      <c r="AJ162" s="151"/>
      <c r="AK162" s="153"/>
      <c r="AL162" s="151"/>
      <c r="AM162" s="153"/>
      <c r="AN162" s="151"/>
      <c r="AO162" s="153"/>
      <c r="AP162" s="61">
        <f t="shared" si="26"/>
        <v>26032</v>
      </c>
      <c r="AQ162" s="75">
        <f t="shared" si="27"/>
        <v>29016</v>
      </c>
      <c r="AR162" s="150" t="s">
        <v>128</v>
      </c>
    </row>
    <row r="163" spans="1:44" ht="30" x14ac:dyDescent="0.25">
      <c r="A163" s="4" t="s">
        <v>149</v>
      </c>
      <c r="B163" s="4" t="s">
        <v>100</v>
      </c>
      <c r="C163" s="5" t="s">
        <v>101</v>
      </c>
      <c r="D163" s="151"/>
      <c r="E163" s="153"/>
      <c r="F163" s="151"/>
      <c r="G163" s="153"/>
      <c r="H163" s="151"/>
      <c r="I163" s="153"/>
      <c r="J163" s="151"/>
      <c r="K163" s="153"/>
      <c r="L163" s="151"/>
      <c r="M163" s="153"/>
      <c r="N163" s="151"/>
      <c r="O163" s="153"/>
      <c r="P163" s="151"/>
      <c r="Q163" s="153"/>
      <c r="R163" s="151"/>
      <c r="S163" s="153"/>
      <c r="T163" s="151"/>
      <c r="U163" s="153"/>
      <c r="V163" s="151"/>
      <c r="W163" s="153"/>
      <c r="X163" s="151"/>
      <c r="Y163" s="153"/>
      <c r="Z163" s="61">
        <f t="shared" si="24"/>
        <v>0</v>
      </c>
      <c r="AA163" s="75">
        <f t="shared" si="25"/>
        <v>0</v>
      </c>
      <c r="AB163" s="151"/>
      <c r="AC163" s="153"/>
      <c r="AD163" s="151"/>
      <c r="AE163" s="153"/>
      <c r="AF163" s="151"/>
      <c r="AG163" s="153"/>
      <c r="AH163" s="151"/>
      <c r="AI163" s="153"/>
      <c r="AJ163" s="151"/>
      <c r="AK163" s="153"/>
      <c r="AL163" s="151">
        <v>17265</v>
      </c>
      <c r="AM163" s="153">
        <v>17265</v>
      </c>
      <c r="AN163" s="151"/>
      <c r="AO163" s="153"/>
      <c r="AP163" s="61">
        <f t="shared" si="26"/>
        <v>17265</v>
      </c>
      <c r="AQ163" s="75">
        <f t="shared" si="27"/>
        <v>17265</v>
      </c>
      <c r="AR163" s="150" t="s">
        <v>102</v>
      </c>
    </row>
    <row r="164" spans="1:44" x14ac:dyDescent="0.25">
      <c r="A164" s="4" t="s">
        <v>149</v>
      </c>
      <c r="B164" s="4" t="s">
        <v>105</v>
      </c>
      <c r="C164" s="5"/>
      <c r="D164" s="151">
        <v>8530</v>
      </c>
      <c r="E164" s="153">
        <v>8937</v>
      </c>
      <c r="F164" s="151"/>
      <c r="G164" s="153"/>
      <c r="H164" s="151"/>
      <c r="I164" s="153"/>
      <c r="J164" s="151"/>
      <c r="K164" s="153"/>
      <c r="L164" s="151"/>
      <c r="M164" s="153"/>
      <c r="N164" s="151"/>
      <c r="O164" s="153"/>
      <c r="P164" s="151"/>
      <c r="Q164" s="153"/>
      <c r="R164" s="151"/>
      <c r="S164" s="153"/>
      <c r="T164" s="151"/>
      <c r="U164" s="153"/>
      <c r="V164" s="151"/>
      <c r="W164" s="153"/>
      <c r="X164" s="151"/>
      <c r="Y164" s="153"/>
      <c r="Z164" s="61">
        <f t="shared" si="24"/>
        <v>8530</v>
      </c>
      <c r="AA164" s="75">
        <f t="shared" si="25"/>
        <v>8937</v>
      </c>
      <c r="AB164" s="151"/>
      <c r="AC164" s="153"/>
      <c r="AD164" s="151"/>
      <c r="AE164" s="153"/>
      <c r="AF164" s="151"/>
      <c r="AG164" s="153"/>
      <c r="AH164" s="151"/>
      <c r="AI164" s="153"/>
      <c r="AJ164" s="151"/>
      <c r="AK164" s="153"/>
      <c r="AL164" s="151"/>
      <c r="AM164" s="153"/>
      <c r="AN164" s="151"/>
      <c r="AO164" s="153"/>
      <c r="AP164" s="61">
        <f t="shared" si="26"/>
        <v>8530</v>
      </c>
      <c r="AQ164" s="75">
        <f t="shared" si="27"/>
        <v>8937</v>
      </c>
      <c r="AR164" s="150" t="s">
        <v>58</v>
      </c>
    </row>
    <row r="165" spans="1:44" x14ac:dyDescent="0.25">
      <c r="A165" s="4" t="s">
        <v>149</v>
      </c>
      <c r="B165" s="4" t="s">
        <v>106</v>
      </c>
      <c r="C165" s="5"/>
      <c r="D165" s="151">
        <v>7164</v>
      </c>
      <c r="E165" s="153">
        <v>7607</v>
      </c>
      <c r="F165" s="151"/>
      <c r="G165" s="153"/>
      <c r="H165" s="151"/>
      <c r="I165" s="153"/>
      <c r="J165" s="151"/>
      <c r="K165" s="153"/>
      <c r="L165" s="151"/>
      <c r="M165" s="153"/>
      <c r="N165" s="151"/>
      <c r="O165" s="153"/>
      <c r="P165" s="151"/>
      <c r="Q165" s="153"/>
      <c r="R165" s="151"/>
      <c r="S165" s="153"/>
      <c r="T165" s="151"/>
      <c r="U165" s="153"/>
      <c r="V165" s="151"/>
      <c r="W165" s="153"/>
      <c r="X165" s="151"/>
      <c r="Y165" s="153"/>
      <c r="Z165" s="61">
        <f t="shared" si="24"/>
        <v>7164</v>
      </c>
      <c r="AA165" s="75">
        <f t="shared" si="25"/>
        <v>7607</v>
      </c>
      <c r="AB165" s="151"/>
      <c r="AC165" s="153"/>
      <c r="AD165" s="151"/>
      <c r="AE165" s="153"/>
      <c r="AF165" s="151"/>
      <c r="AG165" s="153"/>
      <c r="AH165" s="151"/>
      <c r="AI165" s="153"/>
      <c r="AJ165" s="151"/>
      <c r="AK165" s="153"/>
      <c r="AL165" s="151"/>
      <c r="AM165" s="153"/>
      <c r="AN165" s="151"/>
      <c r="AO165" s="153"/>
      <c r="AP165" s="61">
        <f t="shared" si="26"/>
        <v>7164</v>
      </c>
      <c r="AQ165" s="75">
        <f t="shared" si="27"/>
        <v>7607</v>
      </c>
      <c r="AR165" s="150" t="s">
        <v>58</v>
      </c>
    </row>
    <row r="166" spans="1:44" x14ac:dyDescent="0.25">
      <c r="A166" s="16" t="s">
        <v>174</v>
      </c>
      <c r="B166" s="16" t="s">
        <v>108</v>
      </c>
      <c r="C166" s="17"/>
      <c r="D166" s="18">
        <f t="shared" ref="D166:AQ166" si="28">SUM(D129:D165)</f>
        <v>556373</v>
      </c>
      <c r="E166" s="105">
        <f t="shared" si="28"/>
        <v>587110</v>
      </c>
      <c r="F166" s="18">
        <f t="shared" si="28"/>
        <v>4243</v>
      </c>
      <c r="G166" s="18">
        <f t="shared" si="28"/>
        <v>4549</v>
      </c>
      <c r="H166" s="18">
        <f t="shared" si="28"/>
        <v>37590</v>
      </c>
      <c r="I166" s="18">
        <f t="shared" si="28"/>
        <v>39000</v>
      </c>
      <c r="J166" s="18">
        <f t="shared" si="28"/>
        <v>3976</v>
      </c>
      <c r="K166" s="18">
        <f t="shared" si="28"/>
        <v>5041</v>
      </c>
      <c r="L166" s="18">
        <f t="shared" si="28"/>
        <v>25891</v>
      </c>
      <c r="M166" s="18">
        <f t="shared" si="28"/>
        <v>26217</v>
      </c>
      <c r="N166" s="18">
        <f t="shared" si="28"/>
        <v>4457</v>
      </c>
      <c r="O166" s="18">
        <f t="shared" si="28"/>
        <v>4864</v>
      </c>
      <c r="P166" s="18">
        <f t="shared" si="28"/>
        <v>11032</v>
      </c>
      <c r="Q166" s="18">
        <f t="shared" si="28"/>
        <v>11042</v>
      </c>
      <c r="R166" s="18">
        <f t="shared" si="28"/>
        <v>30266</v>
      </c>
      <c r="S166" s="18">
        <f t="shared" si="28"/>
        <v>25449</v>
      </c>
      <c r="T166" s="18">
        <f t="shared" si="28"/>
        <v>23368</v>
      </c>
      <c r="U166" s="18">
        <f t="shared" si="28"/>
        <v>23347</v>
      </c>
      <c r="V166" s="18">
        <f t="shared" si="28"/>
        <v>26300</v>
      </c>
      <c r="W166" s="18">
        <f t="shared" si="28"/>
        <v>26300</v>
      </c>
      <c r="X166" s="18">
        <f t="shared" si="28"/>
        <v>0</v>
      </c>
      <c r="Y166" s="18">
        <f t="shared" si="28"/>
        <v>0</v>
      </c>
      <c r="Z166" s="18">
        <f t="shared" si="28"/>
        <v>723496</v>
      </c>
      <c r="AA166" s="18">
        <f t="shared" si="28"/>
        <v>752919</v>
      </c>
      <c r="AB166" s="18">
        <f t="shared" si="28"/>
        <v>800</v>
      </c>
      <c r="AC166" s="18">
        <f t="shared" si="28"/>
        <v>0</v>
      </c>
      <c r="AD166" s="18">
        <f t="shared" si="28"/>
        <v>128459</v>
      </c>
      <c r="AE166" s="18">
        <f t="shared" si="28"/>
        <v>116097</v>
      </c>
      <c r="AF166" s="18">
        <f t="shared" si="28"/>
        <v>50465</v>
      </c>
      <c r="AG166" s="18">
        <f t="shared" si="28"/>
        <v>40547</v>
      </c>
      <c r="AH166" s="18">
        <f t="shared" si="28"/>
        <v>3350</v>
      </c>
      <c r="AI166" s="18">
        <f t="shared" si="28"/>
        <v>3268</v>
      </c>
      <c r="AJ166" s="18">
        <f t="shared" si="28"/>
        <v>0</v>
      </c>
      <c r="AK166" s="18">
        <f t="shared" si="28"/>
        <v>0</v>
      </c>
      <c r="AL166" s="18">
        <f t="shared" si="28"/>
        <v>18265</v>
      </c>
      <c r="AM166" s="18">
        <f t="shared" si="28"/>
        <v>17265</v>
      </c>
      <c r="AN166" s="18">
        <f t="shared" si="28"/>
        <v>365</v>
      </c>
      <c r="AO166" s="18">
        <f t="shared" si="28"/>
        <v>250</v>
      </c>
      <c r="AP166" s="18">
        <f t="shared" si="28"/>
        <v>925200</v>
      </c>
      <c r="AQ166" s="18">
        <f t="shared" si="28"/>
        <v>930346</v>
      </c>
      <c r="AR166" s="150"/>
    </row>
    <row r="167" spans="1:44" x14ac:dyDescent="0.25">
      <c r="A167" s="4" t="s">
        <v>175</v>
      </c>
      <c r="B167" s="4" t="s">
        <v>56</v>
      </c>
      <c r="C167" s="5" t="s">
        <v>57</v>
      </c>
      <c r="D167" s="151">
        <v>13986</v>
      </c>
      <c r="E167" s="153">
        <v>12740</v>
      </c>
      <c r="F167" s="151">
        <v>1000</v>
      </c>
      <c r="G167" s="153">
        <v>50</v>
      </c>
      <c r="H167" s="151"/>
      <c r="I167" s="153"/>
      <c r="J167" s="151">
        <v>1480</v>
      </c>
      <c r="K167" s="153">
        <v>120</v>
      </c>
      <c r="L167" s="151">
        <v>5417</v>
      </c>
      <c r="M167" s="153">
        <v>640</v>
      </c>
      <c r="N167" s="151">
        <v>470</v>
      </c>
      <c r="O167" s="153">
        <v>58</v>
      </c>
      <c r="P167" s="151">
        <v>7140</v>
      </c>
      <c r="Q167" s="153">
        <v>1088</v>
      </c>
      <c r="R167" s="151">
        <v>480</v>
      </c>
      <c r="S167" s="153">
        <v>570</v>
      </c>
      <c r="T167" s="151"/>
      <c r="U167" s="153"/>
      <c r="V167" s="151"/>
      <c r="W167" s="153"/>
      <c r="X167" s="151"/>
      <c r="Y167" s="153"/>
      <c r="Z167" s="61">
        <f t="shared" ref="Z167:Z192" si="29">D167+F167+H167+J167+L167+P167+R167+T167+V167+X167+N167</f>
        <v>29973</v>
      </c>
      <c r="AA167" s="75">
        <f t="shared" ref="AA167:AA192" si="30">E167+G167+I167+K167+M167+Q167+S167+U167+W167+Y167+O167</f>
        <v>15266</v>
      </c>
      <c r="AB167" s="151"/>
      <c r="AC167" s="153"/>
      <c r="AD167" s="151">
        <v>1490</v>
      </c>
      <c r="AE167" s="153">
        <v>1290</v>
      </c>
      <c r="AF167" s="151">
        <v>2030</v>
      </c>
      <c r="AG167" s="153">
        <v>1790</v>
      </c>
      <c r="AH167" s="151"/>
      <c r="AI167" s="153"/>
      <c r="AJ167" s="151"/>
      <c r="AK167" s="153"/>
      <c r="AL167" s="151"/>
      <c r="AM167" s="153"/>
      <c r="AN167" s="151"/>
      <c r="AO167" s="153"/>
      <c r="AP167" s="61">
        <f t="shared" ref="AP167:AP192" si="31">Z167+AB167+AD167+AF167+AH167+AJ167+AL167+AN167</f>
        <v>33493</v>
      </c>
      <c r="AQ167" s="75">
        <f t="shared" ref="AQ167:AQ192" si="32">AA167+AC167+AE167+AG167+AI167+AK167+AM167+AO167</f>
        <v>18346</v>
      </c>
      <c r="AR167" s="150" t="s">
        <v>58</v>
      </c>
    </row>
    <row r="168" spans="1:44" ht="26.25" x14ac:dyDescent="0.25">
      <c r="A168" s="4" t="s">
        <v>175</v>
      </c>
      <c r="B168" s="4" t="s">
        <v>65</v>
      </c>
      <c r="C168" s="6" t="s">
        <v>60</v>
      </c>
      <c r="D168" s="151">
        <v>66860</v>
      </c>
      <c r="E168" s="153">
        <v>77669</v>
      </c>
      <c r="F168" s="151">
        <v>50</v>
      </c>
      <c r="G168" s="153">
        <v>85</v>
      </c>
      <c r="H168" s="151"/>
      <c r="I168" s="153"/>
      <c r="J168" s="151"/>
      <c r="K168" s="153"/>
      <c r="L168" s="151"/>
      <c r="M168" s="153">
        <v>1950</v>
      </c>
      <c r="N168" s="151">
        <v>122</v>
      </c>
      <c r="O168" s="153">
        <v>300</v>
      </c>
      <c r="P168" s="151"/>
      <c r="Q168" s="153"/>
      <c r="R168" s="151">
        <v>1624</v>
      </c>
      <c r="S168" s="153">
        <v>1200</v>
      </c>
      <c r="T168" s="151"/>
      <c r="U168" s="153"/>
      <c r="V168" s="151"/>
      <c r="W168" s="153"/>
      <c r="X168" s="151"/>
      <c r="Y168" s="153"/>
      <c r="Z168" s="61">
        <f t="shared" si="29"/>
        <v>68656</v>
      </c>
      <c r="AA168" s="75">
        <f t="shared" si="30"/>
        <v>81204</v>
      </c>
      <c r="AB168" s="151"/>
      <c r="AC168" s="153"/>
      <c r="AD168" s="151">
        <v>3000</v>
      </c>
      <c r="AE168" s="153">
        <v>2700</v>
      </c>
      <c r="AF168" s="151">
        <f>647+500</f>
        <v>1147</v>
      </c>
      <c r="AG168" s="153">
        <v>1000</v>
      </c>
      <c r="AH168" s="151"/>
      <c r="AI168" s="153"/>
      <c r="AJ168" s="151"/>
      <c r="AK168" s="153"/>
      <c r="AL168" s="151"/>
      <c r="AM168" s="153"/>
      <c r="AN168" s="151"/>
      <c r="AO168" s="153"/>
      <c r="AP168" s="61">
        <f t="shared" si="31"/>
        <v>72803</v>
      </c>
      <c r="AQ168" s="75">
        <f t="shared" si="32"/>
        <v>84904</v>
      </c>
      <c r="AR168" s="150" t="s">
        <v>61</v>
      </c>
    </row>
    <row r="169" spans="1:44" ht="26.25" x14ac:dyDescent="0.25">
      <c r="A169" s="4" t="s">
        <v>175</v>
      </c>
      <c r="B169" s="4" t="s">
        <v>176</v>
      </c>
      <c r="C169" s="5" t="s">
        <v>165</v>
      </c>
      <c r="D169" s="151"/>
      <c r="E169" s="153"/>
      <c r="F169" s="151"/>
      <c r="G169" s="153"/>
      <c r="H169" s="151"/>
      <c r="I169" s="153"/>
      <c r="J169" s="151"/>
      <c r="K169" s="153"/>
      <c r="L169" s="151"/>
      <c r="M169" s="153"/>
      <c r="N169" s="151"/>
      <c r="O169" s="153"/>
      <c r="P169" s="151"/>
      <c r="Q169" s="153"/>
      <c r="R169" s="151"/>
      <c r="S169" s="153"/>
      <c r="T169" s="151"/>
      <c r="U169" s="153"/>
      <c r="V169" s="151"/>
      <c r="W169" s="153"/>
      <c r="X169" s="151"/>
      <c r="Y169" s="153"/>
      <c r="Z169" s="61">
        <f t="shared" si="29"/>
        <v>0</v>
      </c>
      <c r="AA169" s="75">
        <f t="shared" si="30"/>
        <v>0</v>
      </c>
      <c r="AB169" s="151"/>
      <c r="AC169" s="153"/>
      <c r="AD169" s="151">
        <v>1000</v>
      </c>
      <c r="AE169" s="153">
        <v>1663</v>
      </c>
      <c r="AF169" s="151"/>
      <c r="AG169" s="153"/>
      <c r="AH169" s="151"/>
      <c r="AI169" s="153"/>
      <c r="AJ169" s="151"/>
      <c r="AK169" s="153"/>
      <c r="AL169" s="151"/>
      <c r="AM169" s="153"/>
      <c r="AN169" s="151"/>
      <c r="AO169" s="153"/>
      <c r="AP169" s="61">
        <f t="shared" si="31"/>
        <v>1000</v>
      </c>
      <c r="AQ169" s="75">
        <f t="shared" si="32"/>
        <v>1663</v>
      </c>
      <c r="AR169" s="150" t="s">
        <v>177</v>
      </c>
    </row>
    <row r="170" spans="1:44" ht="26.25" x14ac:dyDescent="0.25">
      <c r="A170" s="4" t="s">
        <v>175</v>
      </c>
      <c r="B170" s="4" t="s">
        <v>178</v>
      </c>
      <c r="C170" s="5" t="s">
        <v>60</v>
      </c>
      <c r="D170" s="151"/>
      <c r="E170" s="153"/>
      <c r="F170" s="151"/>
      <c r="G170" s="153"/>
      <c r="H170" s="151"/>
      <c r="I170" s="153"/>
      <c r="J170" s="151"/>
      <c r="K170" s="153"/>
      <c r="L170" s="151"/>
      <c r="M170" s="153"/>
      <c r="N170" s="151"/>
      <c r="O170" s="153">
        <v>400</v>
      </c>
      <c r="P170" s="151"/>
      <c r="Q170" s="153"/>
      <c r="R170" s="151"/>
      <c r="S170" s="153"/>
      <c r="T170" s="151"/>
      <c r="U170" s="153"/>
      <c r="V170" s="151"/>
      <c r="W170" s="153"/>
      <c r="X170" s="151"/>
      <c r="Y170" s="153"/>
      <c r="Z170" s="61">
        <f t="shared" si="29"/>
        <v>0</v>
      </c>
      <c r="AA170" s="75">
        <f t="shared" si="30"/>
        <v>400</v>
      </c>
      <c r="AB170" s="151"/>
      <c r="AC170" s="153"/>
      <c r="AD170" s="151">
        <v>580</v>
      </c>
      <c r="AE170" s="153">
        <v>400</v>
      </c>
      <c r="AF170" s="151"/>
      <c r="AG170" s="153">
        <v>600</v>
      </c>
      <c r="AH170" s="151"/>
      <c r="AI170" s="153"/>
      <c r="AJ170" s="151"/>
      <c r="AK170" s="153"/>
      <c r="AL170" s="151"/>
      <c r="AM170" s="153"/>
      <c r="AN170" s="151"/>
      <c r="AO170" s="153"/>
      <c r="AP170" s="61">
        <f t="shared" si="31"/>
        <v>580</v>
      </c>
      <c r="AQ170" s="75">
        <f t="shared" si="32"/>
        <v>1400</v>
      </c>
      <c r="AR170" s="150" t="s">
        <v>161</v>
      </c>
    </row>
    <row r="171" spans="1:44" ht="26.25" x14ac:dyDescent="0.25">
      <c r="A171" s="4" t="s">
        <v>175</v>
      </c>
      <c r="B171" s="4" t="s">
        <v>62</v>
      </c>
      <c r="C171" s="5" t="s">
        <v>60</v>
      </c>
      <c r="D171" s="151"/>
      <c r="E171" s="153"/>
      <c r="F171" s="151"/>
      <c r="G171" s="153"/>
      <c r="H171" s="151"/>
      <c r="I171" s="153"/>
      <c r="J171" s="151"/>
      <c r="K171" s="153"/>
      <c r="L171" s="151"/>
      <c r="M171" s="153"/>
      <c r="N171" s="151"/>
      <c r="O171" s="153"/>
      <c r="P171" s="151"/>
      <c r="Q171" s="153"/>
      <c r="R171" s="151"/>
      <c r="S171" s="153"/>
      <c r="T171" s="151"/>
      <c r="U171" s="153"/>
      <c r="V171" s="151"/>
      <c r="W171" s="153"/>
      <c r="X171" s="151"/>
      <c r="Y171" s="153"/>
      <c r="Z171" s="61">
        <f t="shared" si="29"/>
        <v>0</v>
      </c>
      <c r="AA171" s="75">
        <f t="shared" si="30"/>
        <v>0</v>
      </c>
      <c r="AB171" s="151"/>
      <c r="AC171" s="153"/>
      <c r="AD171" s="151">
        <v>6564</v>
      </c>
      <c r="AE171" s="153">
        <f>6819-AG171</f>
        <v>6000</v>
      </c>
      <c r="AF171" s="151">
        <v>142</v>
      </c>
      <c r="AG171" s="153">
        <v>819</v>
      </c>
      <c r="AH171" s="151"/>
      <c r="AI171" s="153"/>
      <c r="AJ171" s="151"/>
      <c r="AK171" s="153"/>
      <c r="AL171" s="151"/>
      <c r="AM171" s="153"/>
      <c r="AN171" s="151"/>
      <c r="AO171" s="153"/>
      <c r="AP171" s="61">
        <f t="shared" si="31"/>
        <v>6706</v>
      </c>
      <c r="AQ171" s="75">
        <f t="shared" si="32"/>
        <v>6819</v>
      </c>
      <c r="AR171" s="150" t="s">
        <v>63</v>
      </c>
    </row>
    <row r="172" spans="1:44" x14ac:dyDescent="0.25">
      <c r="A172" s="4" t="s">
        <v>175</v>
      </c>
      <c r="B172" s="4" t="s">
        <v>64</v>
      </c>
      <c r="C172" s="5" t="s">
        <v>60</v>
      </c>
      <c r="D172" s="151"/>
      <c r="E172" s="153"/>
      <c r="F172" s="151"/>
      <c r="G172" s="153"/>
      <c r="H172" s="151"/>
      <c r="I172" s="153"/>
      <c r="J172" s="151"/>
      <c r="K172" s="153"/>
      <c r="L172" s="151"/>
      <c r="M172" s="153"/>
      <c r="N172" s="151"/>
      <c r="O172" s="153"/>
      <c r="P172" s="151"/>
      <c r="Q172" s="153"/>
      <c r="R172" s="151"/>
      <c r="S172" s="153"/>
      <c r="T172" s="151"/>
      <c r="U172" s="153"/>
      <c r="V172" s="151"/>
      <c r="W172" s="153"/>
      <c r="X172" s="151"/>
      <c r="Y172" s="153"/>
      <c r="Z172" s="61">
        <f t="shared" si="29"/>
        <v>0</v>
      </c>
      <c r="AA172" s="75">
        <f t="shared" si="30"/>
        <v>0</v>
      </c>
      <c r="AB172" s="151"/>
      <c r="AC172" s="153"/>
      <c r="AD172" s="151">
        <v>10736</v>
      </c>
      <c r="AE172" s="153">
        <v>10506</v>
      </c>
      <c r="AF172" s="151"/>
      <c r="AG172" s="153"/>
      <c r="AH172" s="151"/>
      <c r="AI172" s="153"/>
      <c r="AJ172" s="151"/>
      <c r="AK172" s="153"/>
      <c r="AL172" s="151"/>
      <c r="AM172" s="153"/>
      <c r="AN172" s="151"/>
      <c r="AO172" s="153"/>
      <c r="AP172" s="61">
        <f t="shared" si="31"/>
        <v>10736</v>
      </c>
      <c r="AQ172" s="75">
        <f t="shared" si="32"/>
        <v>10506</v>
      </c>
      <c r="AR172" s="150" t="s">
        <v>63</v>
      </c>
    </row>
    <row r="173" spans="1:44" x14ac:dyDescent="0.25">
      <c r="A173" s="4" t="s">
        <v>175</v>
      </c>
      <c r="B173" s="4" t="s">
        <v>179</v>
      </c>
      <c r="C173" s="5" t="s">
        <v>67</v>
      </c>
      <c r="D173" s="151">
        <v>6582</v>
      </c>
      <c r="E173" s="153">
        <v>6763</v>
      </c>
      <c r="F173" s="151">
        <v>0</v>
      </c>
      <c r="G173" s="153"/>
      <c r="H173" s="151"/>
      <c r="I173" s="153"/>
      <c r="J173" s="151"/>
      <c r="K173" s="153">
        <v>30</v>
      </c>
      <c r="L173" s="151">
        <v>0</v>
      </c>
      <c r="M173" s="153">
        <v>162</v>
      </c>
      <c r="N173" s="151">
        <v>12</v>
      </c>
      <c r="O173" s="153">
        <v>50</v>
      </c>
      <c r="P173" s="151">
        <v>0</v>
      </c>
      <c r="Q173" s="153">
        <v>435</v>
      </c>
      <c r="R173" s="151">
        <v>300</v>
      </c>
      <c r="S173" s="153">
        <v>212</v>
      </c>
      <c r="T173" s="151"/>
      <c r="U173" s="153"/>
      <c r="V173" s="151"/>
      <c r="W173" s="153"/>
      <c r="X173" s="151"/>
      <c r="Y173" s="153"/>
      <c r="Z173" s="61">
        <f t="shared" si="29"/>
        <v>6894</v>
      </c>
      <c r="AA173" s="75">
        <f t="shared" si="30"/>
        <v>7652</v>
      </c>
      <c r="AB173" s="151"/>
      <c r="AC173" s="153"/>
      <c r="AD173" s="151">
        <v>800</v>
      </c>
      <c r="AE173" s="153">
        <v>135</v>
      </c>
      <c r="AF173" s="151">
        <v>1060</v>
      </c>
      <c r="AG173" s="153">
        <v>460</v>
      </c>
      <c r="AH173" s="151"/>
      <c r="AI173" s="153"/>
      <c r="AJ173" s="151"/>
      <c r="AK173" s="153"/>
      <c r="AL173" s="151"/>
      <c r="AM173" s="153"/>
      <c r="AN173" s="151"/>
      <c r="AO173" s="153"/>
      <c r="AP173" s="61">
        <f t="shared" si="31"/>
        <v>8754</v>
      </c>
      <c r="AQ173" s="75">
        <f t="shared" si="32"/>
        <v>8247</v>
      </c>
      <c r="AR173" s="150" t="s">
        <v>68</v>
      </c>
    </row>
    <row r="174" spans="1:44" x14ac:dyDescent="0.25">
      <c r="A174" s="4" t="s">
        <v>175</v>
      </c>
      <c r="B174" s="4" t="s">
        <v>126</v>
      </c>
      <c r="C174" s="5" t="s">
        <v>73</v>
      </c>
      <c r="D174" s="151">
        <v>8279</v>
      </c>
      <c r="E174" s="153">
        <v>8973</v>
      </c>
      <c r="F174" s="151">
        <v>0</v>
      </c>
      <c r="G174" s="153">
        <v>50</v>
      </c>
      <c r="H174" s="151"/>
      <c r="I174" s="153"/>
      <c r="J174" s="151">
        <v>0</v>
      </c>
      <c r="K174" s="153">
        <v>60</v>
      </c>
      <c r="L174" s="151">
        <v>0</v>
      </c>
      <c r="M174" s="153">
        <v>405</v>
      </c>
      <c r="N174" s="151"/>
      <c r="O174" s="153">
        <v>33</v>
      </c>
      <c r="P174" s="151"/>
      <c r="Q174" s="153">
        <v>508</v>
      </c>
      <c r="R174" s="151"/>
      <c r="S174" s="153"/>
      <c r="T174" s="151"/>
      <c r="U174" s="153"/>
      <c r="V174" s="151"/>
      <c r="W174" s="153"/>
      <c r="X174" s="151"/>
      <c r="Y174" s="153"/>
      <c r="Z174" s="61">
        <f t="shared" si="29"/>
        <v>8279</v>
      </c>
      <c r="AA174" s="75">
        <f t="shared" si="30"/>
        <v>10029</v>
      </c>
      <c r="AB174" s="151">
        <v>130</v>
      </c>
      <c r="AC174" s="153">
        <v>50</v>
      </c>
      <c r="AD174" s="151">
        <v>200</v>
      </c>
      <c r="AE174" s="153">
        <v>220</v>
      </c>
      <c r="AF174" s="151">
        <v>900</v>
      </c>
      <c r="AG174" s="153">
        <v>2310</v>
      </c>
      <c r="AH174" s="151">
        <v>1342</v>
      </c>
      <c r="AI174" s="153">
        <v>1314</v>
      </c>
      <c r="AJ174" s="151"/>
      <c r="AK174" s="153"/>
      <c r="AL174" s="151"/>
      <c r="AM174" s="153"/>
      <c r="AN174" s="151"/>
      <c r="AO174" s="153"/>
      <c r="AP174" s="61">
        <f t="shared" si="31"/>
        <v>10851</v>
      </c>
      <c r="AQ174" s="75">
        <f t="shared" si="32"/>
        <v>13923</v>
      </c>
      <c r="AR174" s="150" t="s">
        <v>74</v>
      </c>
    </row>
    <row r="175" spans="1:44" x14ac:dyDescent="0.25">
      <c r="A175" s="4" t="s">
        <v>175</v>
      </c>
      <c r="B175" s="4" t="s">
        <v>180</v>
      </c>
      <c r="C175" s="5" t="s">
        <v>73</v>
      </c>
      <c r="D175" s="151">
        <v>2978</v>
      </c>
      <c r="E175" s="153">
        <v>3114</v>
      </c>
      <c r="F175" s="151">
        <v>0</v>
      </c>
      <c r="G175" s="153"/>
      <c r="H175" s="151"/>
      <c r="I175" s="153"/>
      <c r="J175" s="151">
        <v>0</v>
      </c>
      <c r="K175" s="153">
        <v>30</v>
      </c>
      <c r="L175" s="151">
        <v>0</v>
      </c>
      <c r="M175" s="153">
        <v>270</v>
      </c>
      <c r="N175" s="151"/>
      <c r="O175" s="153">
        <v>35</v>
      </c>
      <c r="P175" s="151"/>
      <c r="Q175" s="153">
        <v>362</v>
      </c>
      <c r="R175" s="151">
        <v>50</v>
      </c>
      <c r="S175" s="153">
        <v>125</v>
      </c>
      <c r="T175" s="151"/>
      <c r="U175" s="153"/>
      <c r="V175" s="151"/>
      <c r="W175" s="153"/>
      <c r="X175" s="151"/>
      <c r="Y175" s="153"/>
      <c r="Z175" s="61">
        <f t="shared" si="29"/>
        <v>3028</v>
      </c>
      <c r="AA175" s="75">
        <f t="shared" si="30"/>
        <v>3936</v>
      </c>
      <c r="AB175" s="151"/>
      <c r="AC175" s="153"/>
      <c r="AD175" s="151">
        <v>700</v>
      </c>
      <c r="AE175" s="153">
        <v>750</v>
      </c>
      <c r="AF175" s="151">
        <v>1600</v>
      </c>
      <c r="AG175" s="153">
        <v>1500</v>
      </c>
      <c r="AH175" s="151"/>
      <c r="AI175" s="153"/>
      <c r="AJ175" s="151"/>
      <c r="AK175" s="153"/>
      <c r="AL175" s="151"/>
      <c r="AM175" s="153"/>
      <c r="AN175" s="151"/>
      <c r="AO175" s="153"/>
      <c r="AP175" s="61">
        <f t="shared" si="31"/>
        <v>5328</v>
      </c>
      <c r="AQ175" s="75">
        <f t="shared" si="32"/>
        <v>6186</v>
      </c>
      <c r="AR175" s="150" t="s">
        <v>74</v>
      </c>
    </row>
    <row r="176" spans="1:44" x14ac:dyDescent="0.25">
      <c r="A176" s="4" t="s">
        <v>175</v>
      </c>
      <c r="B176" s="4" t="s">
        <v>181</v>
      </c>
      <c r="C176" s="5" t="s">
        <v>82</v>
      </c>
      <c r="D176" s="151">
        <v>25121</v>
      </c>
      <c r="E176" s="153">
        <v>17159</v>
      </c>
      <c r="F176" s="151">
        <v>0</v>
      </c>
      <c r="G176" s="153">
        <v>51</v>
      </c>
      <c r="H176" s="151"/>
      <c r="I176" s="153"/>
      <c r="J176" s="151">
        <v>0</v>
      </c>
      <c r="K176" s="153">
        <v>1000</v>
      </c>
      <c r="L176" s="151">
        <v>0</v>
      </c>
      <c r="M176" s="153">
        <v>2600</v>
      </c>
      <c r="N176" s="151">
        <v>117</v>
      </c>
      <c r="O176" s="153">
        <v>230</v>
      </c>
      <c r="P176" s="151">
        <v>0</v>
      </c>
      <c r="Q176" s="153">
        <v>4205</v>
      </c>
      <c r="R176" s="151"/>
      <c r="S176" s="153">
        <v>70</v>
      </c>
      <c r="T176" s="151">
        <v>3086</v>
      </c>
      <c r="U176" s="153">
        <v>2623</v>
      </c>
      <c r="V176" s="151"/>
      <c r="W176" s="153"/>
      <c r="X176" s="151"/>
      <c r="Y176" s="153"/>
      <c r="Z176" s="61">
        <f t="shared" si="29"/>
        <v>28324</v>
      </c>
      <c r="AA176" s="75">
        <f t="shared" si="30"/>
        <v>27938</v>
      </c>
      <c r="AB176" s="151">
        <v>50</v>
      </c>
      <c r="AC176" s="153">
        <v>0</v>
      </c>
      <c r="AD176" s="151">
        <v>3385</v>
      </c>
      <c r="AE176" s="153">
        <v>2850</v>
      </c>
      <c r="AF176" s="151">
        <v>4290</v>
      </c>
      <c r="AG176" s="153">
        <v>3250</v>
      </c>
      <c r="AH176" s="151"/>
      <c r="AI176" s="153"/>
      <c r="AJ176" s="151"/>
      <c r="AK176" s="153"/>
      <c r="AL176" s="151"/>
      <c r="AM176" s="153"/>
      <c r="AN176" s="151"/>
      <c r="AO176" s="153"/>
      <c r="AP176" s="61">
        <f t="shared" si="31"/>
        <v>36049</v>
      </c>
      <c r="AQ176" s="75">
        <f t="shared" si="32"/>
        <v>34038</v>
      </c>
      <c r="AR176" s="150" t="s">
        <v>128</v>
      </c>
    </row>
    <row r="177" spans="1:44" ht="26.25" x14ac:dyDescent="0.25">
      <c r="A177" s="4" t="s">
        <v>175</v>
      </c>
      <c r="B177" s="4" t="s">
        <v>83</v>
      </c>
      <c r="C177" s="5" t="s">
        <v>82</v>
      </c>
      <c r="D177" s="151">
        <f>10007+260</f>
        <v>10267</v>
      </c>
      <c r="E177" s="153">
        <v>9680</v>
      </c>
      <c r="F177" s="151"/>
      <c r="G177" s="153"/>
      <c r="H177" s="151"/>
      <c r="I177" s="153"/>
      <c r="J177" s="151"/>
      <c r="K177" s="153"/>
      <c r="L177" s="151"/>
      <c r="M177" s="153"/>
      <c r="N177" s="151"/>
      <c r="O177" s="153"/>
      <c r="P177" s="151"/>
      <c r="Q177" s="153"/>
      <c r="R177" s="151"/>
      <c r="S177" s="153"/>
      <c r="T177" s="151"/>
      <c r="U177" s="153"/>
      <c r="V177" s="151"/>
      <c r="W177" s="153"/>
      <c r="X177" s="151"/>
      <c r="Y177" s="153"/>
      <c r="Z177" s="61">
        <f t="shared" si="29"/>
        <v>10267</v>
      </c>
      <c r="AA177" s="75">
        <f t="shared" si="30"/>
        <v>9680</v>
      </c>
      <c r="AB177" s="151"/>
      <c r="AC177" s="153"/>
      <c r="AD177" s="151"/>
      <c r="AE177" s="153"/>
      <c r="AF177" s="151"/>
      <c r="AG177" s="153"/>
      <c r="AH177" s="151"/>
      <c r="AI177" s="153"/>
      <c r="AJ177" s="151"/>
      <c r="AK177" s="153"/>
      <c r="AL177" s="151"/>
      <c r="AM177" s="153"/>
      <c r="AN177" s="151"/>
      <c r="AO177" s="153"/>
      <c r="AP177" s="61">
        <f t="shared" si="31"/>
        <v>10267</v>
      </c>
      <c r="AQ177" s="75">
        <f t="shared" si="32"/>
        <v>9680</v>
      </c>
      <c r="AR177" s="150" t="s">
        <v>128</v>
      </c>
    </row>
    <row r="178" spans="1:44" x14ac:dyDescent="0.25">
      <c r="A178" s="4" t="s">
        <v>175</v>
      </c>
      <c r="B178" s="4" t="s">
        <v>85</v>
      </c>
      <c r="C178" s="5" t="s">
        <v>86</v>
      </c>
      <c r="D178" s="151">
        <v>14906</v>
      </c>
      <c r="E178" s="153">
        <v>16269</v>
      </c>
      <c r="F178" s="151">
        <v>1200</v>
      </c>
      <c r="G178" s="153">
        <v>600</v>
      </c>
      <c r="H178" s="151"/>
      <c r="I178" s="153"/>
      <c r="J178" s="151">
        <v>520</v>
      </c>
      <c r="K178" s="153">
        <v>600</v>
      </c>
      <c r="L178" s="151">
        <v>6000</v>
      </c>
      <c r="M178" s="153">
        <v>5200</v>
      </c>
      <c r="N178" s="151">
        <v>290</v>
      </c>
      <c r="O178" s="153">
        <v>305</v>
      </c>
      <c r="P178" s="151">
        <v>2000</v>
      </c>
      <c r="Q178" s="153">
        <v>4350</v>
      </c>
      <c r="R178" s="151">
        <v>200</v>
      </c>
      <c r="S178" s="153">
        <v>500</v>
      </c>
      <c r="T178" s="151">
        <v>2557</v>
      </c>
      <c r="U178" s="153">
        <v>1901</v>
      </c>
      <c r="V178" s="151"/>
      <c r="W178" s="153"/>
      <c r="X178" s="151"/>
      <c r="Y178" s="153"/>
      <c r="Z178" s="61">
        <f t="shared" si="29"/>
        <v>27673</v>
      </c>
      <c r="AA178" s="75">
        <f t="shared" si="30"/>
        <v>29725</v>
      </c>
      <c r="AB178" s="151">
        <v>50</v>
      </c>
      <c r="AC178" s="153">
        <v>0</v>
      </c>
      <c r="AD178" s="151">
        <v>6200</v>
      </c>
      <c r="AE178" s="153">
        <v>4500</v>
      </c>
      <c r="AF178" s="151">
        <v>8045</v>
      </c>
      <c r="AG178" s="153">
        <v>6300</v>
      </c>
      <c r="AH178" s="151"/>
      <c r="AI178" s="153"/>
      <c r="AJ178" s="151"/>
      <c r="AK178" s="153"/>
      <c r="AL178" s="151"/>
      <c r="AM178" s="153"/>
      <c r="AN178" s="151"/>
      <c r="AO178" s="153"/>
      <c r="AP178" s="61">
        <f t="shared" si="31"/>
        <v>41968</v>
      </c>
      <c r="AQ178" s="75">
        <f t="shared" si="32"/>
        <v>40525</v>
      </c>
      <c r="AR178" s="150" t="s">
        <v>128</v>
      </c>
    </row>
    <row r="179" spans="1:44" ht="26.25" x14ac:dyDescent="0.25">
      <c r="A179" s="4" t="s">
        <v>175</v>
      </c>
      <c r="B179" s="4" t="s">
        <v>88</v>
      </c>
      <c r="C179" s="5" t="s">
        <v>86</v>
      </c>
      <c r="D179" s="151"/>
      <c r="E179" s="153"/>
      <c r="F179" s="151"/>
      <c r="G179" s="153"/>
      <c r="H179" s="151"/>
      <c r="I179" s="153"/>
      <c r="J179" s="151"/>
      <c r="K179" s="153"/>
      <c r="L179" s="151"/>
      <c r="M179" s="153"/>
      <c r="N179" s="151"/>
      <c r="O179" s="153"/>
      <c r="P179" s="151"/>
      <c r="Q179" s="153"/>
      <c r="R179" s="151"/>
      <c r="S179" s="153"/>
      <c r="T179" s="151">
        <v>1091</v>
      </c>
      <c r="U179" s="153">
        <v>1295</v>
      </c>
      <c r="V179" s="151"/>
      <c r="W179" s="153"/>
      <c r="X179" s="151"/>
      <c r="Y179" s="153"/>
      <c r="Z179" s="61">
        <f t="shared" si="29"/>
        <v>1091</v>
      </c>
      <c r="AA179" s="75">
        <f t="shared" si="30"/>
        <v>1295</v>
      </c>
      <c r="AB179" s="151"/>
      <c r="AC179" s="153"/>
      <c r="AD179" s="151"/>
      <c r="AE179" s="153"/>
      <c r="AF179" s="151"/>
      <c r="AG179" s="153"/>
      <c r="AH179" s="151"/>
      <c r="AI179" s="153"/>
      <c r="AJ179" s="151"/>
      <c r="AK179" s="153"/>
      <c r="AL179" s="151"/>
      <c r="AM179" s="153"/>
      <c r="AN179" s="151"/>
      <c r="AO179" s="153"/>
      <c r="AP179" s="61">
        <f t="shared" si="31"/>
        <v>1091</v>
      </c>
      <c r="AQ179" s="75">
        <f t="shared" si="32"/>
        <v>1295</v>
      </c>
      <c r="AR179" s="150" t="s">
        <v>128</v>
      </c>
    </row>
    <row r="180" spans="1:44" ht="26.25" x14ac:dyDescent="0.25">
      <c r="A180" s="4" t="s">
        <v>175</v>
      </c>
      <c r="B180" s="4" t="s">
        <v>89</v>
      </c>
      <c r="C180" s="5" t="s">
        <v>86</v>
      </c>
      <c r="D180" s="151"/>
      <c r="E180" s="153"/>
      <c r="F180" s="151"/>
      <c r="G180" s="153"/>
      <c r="H180" s="151"/>
      <c r="I180" s="153"/>
      <c r="J180" s="151"/>
      <c r="K180" s="153"/>
      <c r="L180" s="151"/>
      <c r="M180" s="153"/>
      <c r="N180" s="151"/>
      <c r="O180" s="153"/>
      <c r="P180" s="151"/>
      <c r="Q180" s="153"/>
      <c r="R180" s="151"/>
      <c r="S180" s="153"/>
      <c r="T180" s="151">
        <v>1091</v>
      </c>
      <c r="U180" s="153">
        <v>1295</v>
      </c>
      <c r="V180" s="151"/>
      <c r="W180" s="153"/>
      <c r="X180" s="151"/>
      <c r="Y180" s="153"/>
      <c r="Z180" s="61">
        <f t="shared" si="29"/>
        <v>1091</v>
      </c>
      <c r="AA180" s="75">
        <f t="shared" si="30"/>
        <v>1295</v>
      </c>
      <c r="AB180" s="151"/>
      <c r="AC180" s="153"/>
      <c r="AD180" s="151"/>
      <c r="AE180" s="153"/>
      <c r="AF180" s="151"/>
      <c r="AG180" s="153"/>
      <c r="AH180" s="151"/>
      <c r="AI180" s="153"/>
      <c r="AJ180" s="151"/>
      <c r="AK180" s="153"/>
      <c r="AL180" s="151"/>
      <c r="AM180" s="153"/>
      <c r="AN180" s="151"/>
      <c r="AO180" s="153"/>
      <c r="AP180" s="61">
        <f t="shared" si="31"/>
        <v>1091</v>
      </c>
      <c r="AQ180" s="75">
        <f t="shared" si="32"/>
        <v>1295</v>
      </c>
      <c r="AR180" s="150" t="s">
        <v>128</v>
      </c>
    </row>
    <row r="181" spans="1:44" x14ac:dyDescent="0.25">
      <c r="A181" s="4" t="s">
        <v>175</v>
      </c>
      <c r="B181" s="4" t="s">
        <v>90</v>
      </c>
      <c r="C181" s="5" t="s">
        <v>86</v>
      </c>
      <c r="D181" s="151"/>
      <c r="E181" s="153"/>
      <c r="F181" s="151"/>
      <c r="G181" s="153"/>
      <c r="H181" s="151"/>
      <c r="I181" s="153"/>
      <c r="J181" s="151"/>
      <c r="K181" s="153"/>
      <c r="L181" s="151"/>
      <c r="M181" s="153"/>
      <c r="N181" s="151"/>
      <c r="O181" s="153"/>
      <c r="P181" s="151"/>
      <c r="Q181" s="153"/>
      <c r="R181" s="151"/>
      <c r="S181" s="153"/>
      <c r="T181" s="151">
        <v>700</v>
      </c>
      <c r="U181" s="153">
        <v>700</v>
      </c>
      <c r="V181" s="151"/>
      <c r="W181" s="153"/>
      <c r="X181" s="151"/>
      <c r="Y181" s="153"/>
      <c r="Z181" s="61">
        <f t="shared" si="29"/>
        <v>700</v>
      </c>
      <c r="AA181" s="75">
        <f t="shared" si="30"/>
        <v>700</v>
      </c>
      <c r="AB181" s="151"/>
      <c r="AC181" s="153"/>
      <c r="AD181" s="151"/>
      <c r="AE181" s="153"/>
      <c r="AF181" s="151"/>
      <c r="AG181" s="153"/>
      <c r="AH181" s="151"/>
      <c r="AI181" s="153"/>
      <c r="AJ181" s="151"/>
      <c r="AK181" s="153"/>
      <c r="AL181" s="151"/>
      <c r="AM181" s="153"/>
      <c r="AN181" s="151"/>
      <c r="AO181" s="153"/>
      <c r="AP181" s="61">
        <f t="shared" si="31"/>
        <v>700</v>
      </c>
      <c r="AQ181" s="75">
        <f t="shared" si="32"/>
        <v>700</v>
      </c>
      <c r="AR181" s="150" t="s">
        <v>128</v>
      </c>
    </row>
    <row r="182" spans="1:44" ht="26.25" x14ac:dyDescent="0.25">
      <c r="A182" s="4" t="s">
        <v>175</v>
      </c>
      <c r="B182" s="4" t="s">
        <v>87</v>
      </c>
      <c r="C182" s="5" t="s">
        <v>86</v>
      </c>
      <c r="D182" s="151">
        <f>8518+45</f>
        <v>8563</v>
      </c>
      <c r="E182" s="153">
        <v>22681</v>
      </c>
      <c r="F182" s="151"/>
      <c r="G182" s="153"/>
      <c r="H182" s="151"/>
      <c r="I182" s="153"/>
      <c r="J182" s="151"/>
      <c r="K182" s="153"/>
      <c r="L182" s="151"/>
      <c r="M182" s="153"/>
      <c r="N182" s="151"/>
      <c r="O182" s="153"/>
      <c r="P182" s="151"/>
      <c r="Q182" s="153"/>
      <c r="R182" s="151"/>
      <c r="S182" s="153"/>
      <c r="T182" s="151"/>
      <c r="U182" s="153"/>
      <c r="V182" s="151"/>
      <c r="W182" s="153"/>
      <c r="X182" s="151"/>
      <c r="Y182" s="153"/>
      <c r="Z182" s="61">
        <f t="shared" si="29"/>
        <v>8563</v>
      </c>
      <c r="AA182" s="75">
        <f t="shared" si="30"/>
        <v>22681</v>
      </c>
      <c r="AB182" s="151"/>
      <c r="AC182" s="153"/>
      <c r="AD182" s="151"/>
      <c r="AE182" s="153"/>
      <c r="AF182" s="151"/>
      <c r="AG182" s="153"/>
      <c r="AH182" s="151"/>
      <c r="AI182" s="153"/>
      <c r="AJ182" s="151"/>
      <c r="AK182" s="153"/>
      <c r="AL182" s="151"/>
      <c r="AM182" s="153"/>
      <c r="AN182" s="151"/>
      <c r="AO182" s="153"/>
      <c r="AP182" s="61">
        <f t="shared" si="31"/>
        <v>8563</v>
      </c>
      <c r="AQ182" s="75">
        <f t="shared" si="32"/>
        <v>22681</v>
      </c>
      <c r="AR182" s="150" t="s">
        <v>128</v>
      </c>
    </row>
    <row r="183" spans="1:44" ht="26.25" x14ac:dyDescent="0.25">
      <c r="A183" s="4" t="s">
        <v>175</v>
      </c>
      <c r="B183" s="4" t="s">
        <v>182</v>
      </c>
      <c r="C183" s="5" t="s">
        <v>79</v>
      </c>
      <c r="D183" s="151">
        <v>9679</v>
      </c>
      <c r="E183" s="153">
        <v>9937</v>
      </c>
      <c r="F183" s="151">
        <v>109</v>
      </c>
      <c r="G183" s="153">
        <v>50</v>
      </c>
      <c r="H183" s="151"/>
      <c r="I183" s="153"/>
      <c r="J183" s="151">
        <v>0</v>
      </c>
      <c r="K183" s="153">
        <v>60</v>
      </c>
      <c r="L183" s="151">
        <v>0</v>
      </c>
      <c r="M183" s="153">
        <v>280</v>
      </c>
      <c r="N183" s="151"/>
      <c r="O183" s="153">
        <v>35</v>
      </c>
      <c r="P183" s="151"/>
      <c r="Q183" s="153">
        <v>362</v>
      </c>
      <c r="R183" s="151">
        <v>100</v>
      </c>
      <c r="S183" s="153">
        <v>125</v>
      </c>
      <c r="T183" s="151"/>
      <c r="U183" s="153"/>
      <c r="V183" s="151"/>
      <c r="W183" s="153"/>
      <c r="X183" s="151"/>
      <c r="Y183" s="153"/>
      <c r="Z183" s="61">
        <f t="shared" si="29"/>
        <v>9888</v>
      </c>
      <c r="AA183" s="75">
        <f t="shared" si="30"/>
        <v>10849</v>
      </c>
      <c r="AB183" s="151">
        <v>0</v>
      </c>
      <c r="AC183" s="153"/>
      <c r="AD183" s="151">
        <v>400</v>
      </c>
      <c r="AE183" s="153">
        <v>100</v>
      </c>
      <c r="AF183" s="151">
        <v>800</v>
      </c>
      <c r="AG183" s="153">
        <v>595</v>
      </c>
      <c r="AH183" s="151"/>
      <c r="AI183" s="153"/>
      <c r="AJ183" s="151"/>
      <c r="AK183" s="153"/>
      <c r="AL183" s="151"/>
      <c r="AM183" s="153"/>
      <c r="AN183" s="151"/>
      <c r="AO183" s="153"/>
      <c r="AP183" s="61">
        <f t="shared" si="31"/>
        <v>11088</v>
      </c>
      <c r="AQ183" s="75">
        <f t="shared" si="32"/>
        <v>11544</v>
      </c>
      <c r="AR183" s="150" t="s">
        <v>128</v>
      </c>
    </row>
    <row r="184" spans="1:44" x14ac:dyDescent="0.25">
      <c r="A184" s="4" t="s">
        <v>175</v>
      </c>
      <c r="B184" s="4" t="s">
        <v>97</v>
      </c>
      <c r="C184" s="5" t="s">
        <v>96</v>
      </c>
      <c r="D184" s="151"/>
      <c r="E184" s="153"/>
      <c r="F184" s="151"/>
      <c r="G184" s="153"/>
      <c r="H184" s="151"/>
      <c r="I184" s="153"/>
      <c r="J184" s="151"/>
      <c r="K184" s="153"/>
      <c r="L184" s="151"/>
      <c r="M184" s="153"/>
      <c r="N184" s="151"/>
      <c r="O184" s="153"/>
      <c r="P184" s="151"/>
      <c r="Q184" s="153"/>
      <c r="R184" s="151"/>
      <c r="S184" s="153"/>
      <c r="T184" s="151"/>
      <c r="U184" s="153"/>
      <c r="V184" s="151">
        <v>2000</v>
      </c>
      <c r="W184" s="153">
        <v>1600</v>
      </c>
      <c r="X184" s="151"/>
      <c r="Y184" s="153"/>
      <c r="Z184" s="61">
        <f t="shared" si="29"/>
        <v>2000</v>
      </c>
      <c r="AA184" s="75">
        <f t="shared" si="30"/>
        <v>1600</v>
      </c>
      <c r="AB184" s="151"/>
      <c r="AC184" s="153"/>
      <c r="AD184" s="151"/>
      <c r="AE184" s="153"/>
      <c r="AF184" s="151"/>
      <c r="AG184" s="153"/>
      <c r="AH184" s="151"/>
      <c r="AI184" s="153"/>
      <c r="AJ184" s="151"/>
      <c r="AK184" s="153"/>
      <c r="AL184" s="151"/>
      <c r="AM184" s="153"/>
      <c r="AN184" s="151"/>
      <c r="AO184" s="153"/>
      <c r="AP184" s="61">
        <f t="shared" si="31"/>
        <v>2000</v>
      </c>
      <c r="AQ184" s="75">
        <f t="shared" si="32"/>
        <v>1600</v>
      </c>
      <c r="AR184" s="150" t="s">
        <v>128</v>
      </c>
    </row>
    <row r="185" spans="1:44" ht="30" x14ac:dyDescent="0.25">
      <c r="A185" s="4" t="s">
        <v>175</v>
      </c>
      <c r="B185" s="4" t="s">
        <v>183</v>
      </c>
      <c r="C185" s="5" t="s">
        <v>104</v>
      </c>
      <c r="D185" s="151"/>
      <c r="E185" s="153"/>
      <c r="F185" s="151">
        <v>120</v>
      </c>
      <c r="G185" s="153"/>
      <c r="H185" s="151"/>
      <c r="I185" s="153"/>
      <c r="J185" s="151">
        <v>0</v>
      </c>
      <c r="K185" s="153">
        <v>60</v>
      </c>
      <c r="L185" s="151">
        <v>0</v>
      </c>
      <c r="M185" s="153">
        <v>198</v>
      </c>
      <c r="N185" s="151"/>
      <c r="O185" s="153">
        <v>5</v>
      </c>
      <c r="P185" s="151"/>
      <c r="Q185" s="153">
        <v>290</v>
      </c>
      <c r="R185" s="151">
        <v>100</v>
      </c>
      <c r="S185" s="153">
        <v>70</v>
      </c>
      <c r="T185" s="151"/>
      <c r="U185" s="153"/>
      <c r="V185" s="151"/>
      <c r="W185" s="153"/>
      <c r="X185" s="151"/>
      <c r="Y185" s="153"/>
      <c r="Z185" s="61">
        <f t="shared" si="29"/>
        <v>220</v>
      </c>
      <c r="AA185" s="75">
        <f t="shared" si="30"/>
        <v>623</v>
      </c>
      <c r="AB185" s="151"/>
      <c r="AC185" s="153"/>
      <c r="AD185" s="151">
        <v>130</v>
      </c>
      <c r="AE185" s="153">
        <v>90</v>
      </c>
      <c r="AF185" s="151">
        <v>215</v>
      </c>
      <c r="AG185" s="153">
        <v>200</v>
      </c>
      <c r="AH185" s="151"/>
      <c r="AI185" s="153"/>
      <c r="AJ185" s="151"/>
      <c r="AK185" s="153"/>
      <c r="AL185" s="151"/>
      <c r="AM185" s="153"/>
      <c r="AN185" s="151"/>
      <c r="AO185" s="153"/>
      <c r="AP185" s="61">
        <f t="shared" si="31"/>
        <v>565</v>
      </c>
      <c r="AQ185" s="75">
        <f t="shared" si="32"/>
        <v>913</v>
      </c>
      <c r="AR185" s="150" t="s">
        <v>102</v>
      </c>
    </row>
    <row r="186" spans="1:44" x14ac:dyDescent="0.25">
      <c r="A186" s="4" t="s">
        <v>175</v>
      </c>
      <c r="B186" s="4" t="s">
        <v>91</v>
      </c>
      <c r="C186" s="5" t="s">
        <v>86</v>
      </c>
      <c r="D186" s="151">
        <v>83664</v>
      </c>
      <c r="E186" s="153">
        <v>72248</v>
      </c>
      <c r="F186" s="151"/>
      <c r="G186" s="153"/>
      <c r="H186" s="151"/>
      <c r="I186" s="153"/>
      <c r="J186" s="151"/>
      <c r="K186" s="153"/>
      <c r="L186" s="151"/>
      <c r="M186" s="153"/>
      <c r="N186" s="151"/>
      <c r="O186" s="153"/>
      <c r="P186" s="151"/>
      <c r="Q186" s="153"/>
      <c r="R186" s="151"/>
      <c r="S186" s="153"/>
      <c r="T186" s="151"/>
      <c r="U186" s="153"/>
      <c r="V186" s="151"/>
      <c r="W186" s="153"/>
      <c r="X186" s="151"/>
      <c r="Y186" s="153"/>
      <c r="Z186" s="61">
        <f t="shared" si="29"/>
        <v>83664</v>
      </c>
      <c r="AA186" s="75">
        <f t="shared" si="30"/>
        <v>72248</v>
      </c>
      <c r="AB186" s="151"/>
      <c r="AC186" s="153"/>
      <c r="AD186" s="151"/>
      <c r="AE186" s="153"/>
      <c r="AF186" s="151"/>
      <c r="AG186" s="153"/>
      <c r="AH186" s="151"/>
      <c r="AI186" s="153"/>
      <c r="AJ186" s="151"/>
      <c r="AK186" s="153"/>
      <c r="AL186" s="151"/>
      <c r="AM186" s="153"/>
      <c r="AN186" s="151"/>
      <c r="AO186" s="153"/>
      <c r="AP186" s="61">
        <f t="shared" si="31"/>
        <v>83664</v>
      </c>
      <c r="AQ186" s="75">
        <f t="shared" si="32"/>
        <v>72248</v>
      </c>
      <c r="AR186" s="150" t="s">
        <v>128</v>
      </c>
    </row>
    <row r="187" spans="1:44" ht="26.25" x14ac:dyDescent="0.25">
      <c r="A187" s="4" t="s">
        <v>175</v>
      </c>
      <c r="B187" s="4" t="s">
        <v>92</v>
      </c>
      <c r="C187" s="5" t="s">
        <v>93</v>
      </c>
      <c r="D187" s="151">
        <v>2800</v>
      </c>
      <c r="E187" s="153">
        <v>2414</v>
      </c>
      <c r="F187" s="151"/>
      <c r="G187" s="153"/>
      <c r="H187" s="151"/>
      <c r="I187" s="153"/>
      <c r="J187" s="151"/>
      <c r="K187" s="153"/>
      <c r="L187" s="151"/>
      <c r="M187" s="153"/>
      <c r="N187" s="151"/>
      <c r="O187" s="153"/>
      <c r="P187" s="151"/>
      <c r="Q187" s="153"/>
      <c r="R187" s="151"/>
      <c r="S187" s="153"/>
      <c r="T187" s="151"/>
      <c r="U187" s="153"/>
      <c r="V187" s="151"/>
      <c r="W187" s="153"/>
      <c r="X187" s="151"/>
      <c r="Y187" s="153"/>
      <c r="Z187" s="61">
        <f t="shared" si="29"/>
        <v>2800</v>
      </c>
      <c r="AA187" s="75">
        <f t="shared" si="30"/>
        <v>2414</v>
      </c>
      <c r="AB187" s="151"/>
      <c r="AC187" s="153"/>
      <c r="AD187" s="151"/>
      <c r="AE187" s="153"/>
      <c r="AF187" s="151"/>
      <c r="AG187" s="153"/>
      <c r="AH187" s="151"/>
      <c r="AI187" s="153"/>
      <c r="AJ187" s="151"/>
      <c r="AK187" s="153"/>
      <c r="AL187" s="151"/>
      <c r="AM187" s="153"/>
      <c r="AN187" s="151"/>
      <c r="AO187" s="153"/>
      <c r="AP187" s="61">
        <f t="shared" si="31"/>
        <v>2800</v>
      </c>
      <c r="AQ187" s="75">
        <f t="shared" si="32"/>
        <v>2414</v>
      </c>
      <c r="AR187" s="150" t="s">
        <v>128</v>
      </c>
    </row>
    <row r="188" spans="1:44" ht="26.25" x14ac:dyDescent="0.25">
      <c r="A188" s="4" t="s">
        <v>175</v>
      </c>
      <c r="B188" s="4" t="s">
        <v>84</v>
      </c>
      <c r="C188" s="5" t="s">
        <v>82</v>
      </c>
      <c r="D188" s="151">
        <v>6888</v>
      </c>
      <c r="E188" s="153">
        <v>7256</v>
      </c>
      <c r="F188" s="151"/>
      <c r="G188" s="153"/>
      <c r="H188" s="151"/>
      <c r="I188" s="153"/>
      <c r="J188" s="151"/>
      <c r="K188" s="153"/>
      <c r="L188" s="151"/>
      <c r="M188" s="153"/>
      <c r="N188" s="151"/>
      <c r="O188" s="153"/>
      <c r="P188" s="151"/>
      <c r="Q188" s="153"/>
      <c r="R188" s="151"/>
      <c r="S188" s="153"/>
      <c r="T188" s="151"/>
      <c r="U188" s="153"/>
      <c r="V188" s="151"/>
      <c r="W188" s="153"/>
      <c r="X188" s="151"/>
      <c r="Y188" s="153"/>
      <c r="Z188" s="61">
        <f t="shared" si="29"/>
        <v>6888</v>
      </c>
      <c r="AA188" s="75">
        <f t="shared" si="30"/>
        <v>7256</v>
      </c>
      <c r="AB188" s="151"/>
      <c r="AC188" s="153"/>
      <c r="AD188" s="151"/>
      <c r="AE188" s="153"/>
      <c r="AF188" s="151"/>
      <c r="AG188" s="153"/>
      <c r="AH188" s="151"/>
      <c r="AI188" s="153"/>
      <c r="AJ188" s="151"/>
      <c r="AK188" s="153"/>
      <c r="AL188" s="151"/>
      <c r="AM188" s="153"/>
      <c r="AN188" s="151"/>
      <c r="AO188" s="153"/>
      <c r="AP188" s="61">
        <f t="shared" si="31"/>
        <v>6888</v>
      </c>
      <c r="AQ188" s="75">
        <f t="shared" si="32"/>
        <v>7256</v>
      </c>
      <c r="AR188" s="150" t="s">
        <v>128</v>
      </c>
    </row>
    <row r="189" spans="1:44" ht="30" x14ac:dyDescent="0.25">
      <c r="A189" s="4" t="s">
        <v>175</v>
      </c>
      <c r="B189" s="4" t="s">
        <v>100</v>
      </c>
      <c r="C189" s="5" t="s">
        <v>101</v>
      </c>
      <c r="D189" s="151"/>
      <c r="E189" s="153"/>
      <c r="F189" s="151"/>
      <c r="G189" s="153"/>
      <c r="H189" s="151"/>
      <c r="I189" s="153"/>
      <c r="J189" s="151"/>
      <c r="K189" s="153"/>
      <c r="L189" s="151"/>
      <c r="M189" s="153"/>
      <c r="N189" s="151"/>
      <c r="O189" s="153"/>
      <c r="P189" s="151"/>
      <c r="Q189" s="153"/>
      <c r="R189" s="151"/>
      <c r="S189" s="153"/>
      <c r="T189" s="151"/>
      <c r="U189" s="153"/>
      <c r="V189" s="151"/>
      <c r="W189" s="153"/>
      <c r="X189" s="151"/>
      <c r="Y189" s="153"/>
      <c r="Z189" s="61">
        <f t="shared" si="29"/>
        <v>0</v>
      </c>
      <c r="AA189" s="75">
        <f t="shared" si="30"/>
        <v>0</v>
      </c>
      <c r="AB189" s="151"/>
      <c r="AC189" s="153"/>
      <c r="AD189" s="151"/>
      <c r="AE189" s="153"/>
      <c r="AF189" s="151"/>
      <c r="AG189" s="153"/>
      <c r="AH189" s="151"/>
      <c r="AI189" s="153"/>
      <c r="AJ189" s="151"/>
      <c r="AK189" s="153"/>
      <c r="AL189" s="151">
        <v>9217</v>
      </c>
      <c r="AM189" s="153">
        <v>9217</v>
      </c>
      <c r="AN189" s="151"/>
      <c r="AO189" s="153"/>
      <c r="AP189" s="61">
        <f t="shared" si="31"/>
        <v>9217</v>
      </c>
      <c r="AQ189" s="75">
        <f t="shared" si="32"/>
        <v>9217</v>
      </c>
      <c r="AR189" s="150" t="s">
        <v>102</v>
      </c>
    </row>
    <row r="190" spans="1:44" x14ac:dyDescent="0.25">
      <c r="A190" s="4" t="s">
        <v>175</v>
      </c>
      <c r="B190" s="4" t="s">
        <v>105</v>
      </c>
      <c r="C190" s="5"/>
      <c r="D190" s="151">
        <v>3501</v>
      </c>
      <c r="E190" s="153">
        <v>3940</v>
      </c>
      <c r="F190" s="151"/>
      <c r="G190" s="153"/>
      <c r="H190" s="151"/>
      <c r="I190" s="153"/>
      <c r="J190" s="151"/>
      <c r="K190" s="153"/>
      <c r="L190" s="151"/>
      <c r="M190" s="153"/>
      <c r="N190" s="151"/>
      <c r="O190" s="153"/>
      <c r="P190" s="151"/>
      <c r="Q190" s="153"/>
      <c r="R190" s="151"/>
      <c r="S190" s="153"/>
      <c r="T190" s="151"/>
      <c r="U190" s="153"/>
      <c r="V190" s="151"/>
      <c r="W190" s="153"/>
      <c r="X190" s="151"/>
      <c r="Y190" s="153"/>
      <c r="Z190" s="61">
        <f t="shared" si="29"/>
        <v>3501</v>
      </c>
      <c r="AA190" s="75">
        <f t="shared" si="30"/>
        <v>3940</v>
      </c>
      <c r="AB190" s="151"/>
      <c r="AC190" s="153"/>
      <c r="AD190" s="151"/>
      <c r="AE190" s="153"/>
      <c r="AF190" s="151"/>
      <c r="AG190" s="153"/>
      <c r="AH190" s="151"/>
      <c r="AI190" s="153"/>
      <c r="AJ190" s="151"/>
      <c r="AK190" s="153"/>
      <c r="AL190" s="151"/>
      <c r="AM190" s="153"/>
      <c r="AN190" s="151"/>
      <c r="AO190" s="153"/>
      <c r="AP190" s="61">
        <f t="shared" si="31"/>
        <v>3501</v>
      </c>
      <c r="AQ190" s="75">
        <f t="shared" si="32"/>
        <v>3940</v>
      </c>
      <c r="AR190" s="150" t="s">
        <v>58</v>
      </c>
    </row>
    <row r="191" spans="1:44" x14ac:dyDescent="0.25">
      <c r="A191" s="4" t="s">
        <v>175</v>
      </c>
      <c r="B191" s="4" t="s">
        <v>106</v>
      </c>
      <c r="C191" s="5"/>
      <c r="D191" s="151">
        <v>3066</v>
      </c>
      <c r="E191" s="153">
        <v>3179</v>
      </c>
      <c r="F191" s="151"/>
      <c r="G191" s="153"/>
      <c r="H191" s="151"/>
      <c r="I191" s="153"/>
      <c r="J191" s="151"/>
      <c r="K191" s="153"/>
      <c r="L191" s="151"/>
      <c r="M191" s="153"/>
      <c r="N191" s="151"/>
      <c r="O191" s="153"/>
      <c r="P191" s="151"/>
      <c r="Q191" s="153"/>
      <c r="R191" s="151"/>
      <c r="S191" s="153"/>
      <c r="T191" s="151"/>
      <c r="U191" s="153"/>
      <c r="V191" s="151"/>
      <c r="W191" s="153"/>
      <c r="X191" s="151"/>
      <c r="Y191" s="153"/>
      <c r="Z191" s="61">
        <f t="shared" si="29"/>
        <v>3066</v>
      </c>
      <c r="AA191" s="75">
        <f t="shared" si="30"/>
        <v>3179</v>
      </c>
      <c r="AB191" s="151"/>
      <c r="AC191" s="153"/>
      <c r="AD191" s="151"/>
      <c r="AE191" s="153"/>
      <c r="AF191" s="151"/>
      <c r="AG191" s="153"/>
      <c r="AH191" s="151"/>
      <c r="AI191" s="153"/>
      <c r="AJ191" s="151"/>
      <c r="AK191" s="153"/>
      <c r="AL191" s="151"/>
      <c r="AM191" s="153"/>
      <c r="AN191" s="151"/>
      <c r="AO191" s="153"/>
      <c r="AP191" s="61">
        <f t="shared" si="31"/>
        <v>3066</v>
      </c>
      <c r="AQ191" s="75">
        <f t="shared" si="32"/>
        <v>3179</v>
      </c>
      <c r="AR191" s="150" t="s">
        <v>58</v>
      </c>
    </row>
    <row r="192" spans="1:44" x14ac:dyDescent="0.25">
      <c r="A192" s="4" t="s">
        <v>175</v>
      </c>
      <c r="B192" s="4" t="s">
        <v>98</v>
      </c>
      <c r="C192" s="5" t="s">
        <v>99</v>
      </c>
      <c r="D192" s="151"/>
      <c r="E192" s="153"/>
      <c r="F192" s="151"/>
      <c r="G192" s="153"/>
      <c r="H192" s="151"/>
      <c r="I192" s="153"/>
      <c r="J192" s="151"/>
      <c r="K192" s="153"/>
      <c r="L192" s="151"/>
      <c r="M192" s="153"/>
      <c r="N192" s="151"/>
      <c r="O192" s="153"/>
      <c r="P192" s="151"/>
      <c r="Q192" s="153"/>
      <c r="R192" s="151"/>
      <c r="S192" s="153">
        <v>120</v>
      </c>
      <c r="T192" s="151"/>
      <c r="U192" s="153"/>
      <c r="V192" s="151"/>
      <c r="W192" s="153"/>
      <c r="X192" s="151"/>
      <c r="Y192" s="153"/>
      <c r="Z192" s="61">
        <f t="shared" si="29"/>
        <v>0</v>
      </c>
      <c r="AA192" s="75">
        <f t="shared" si="30"/>
        <v>120</v>
      </c>
      <c r="AB192" s="151"/>
      <c r="AC192" s="153"/>
      <c r="AD192" s="151"/>
      <c r="AE192" s="153"/>
      <c r="AF192" s="151"/>
      <c r="AG192" s="153"/>
      <c r="AH192" s="151"/>
      <c r="AI192" s="153"/>
      <c r="AJ192" s="151"/>
      <c r="AK192" s="153"/>
      <c r="AL192" s="151"/>
      <c r="AM192" s="153"/>
      <c r="AN192" s="151"/>
      <c r="AO192" s="153"/>
      <c r="AP192" s="61">
        <f t="shared" si="31"/>
        <v>0</v>
      </c>
      <c r="AQ192" s="75">
        <f t="shared" si="32"/>
        <v>120</v>
      </c>
      <c r="AR192" s="150" t="s">
        <v>58</v>
      </c>
    </row>
    <row r="193" spans="1:44" x14ac:dyDescent="0.25">
      <c r="A193" s="16" t="s">
        <v>184</v>
      </c>
      <c r="B193" s="16" t="s">
        <v>108</v>
      </c>
      <c r="C193" s="17"/>
      <c r="D193" s="18">
        <f t="shared" ref="D193:AQ193" si="33">SUM(D167:D192)</f>
        <v>267140</v>
      </c>
      <c r="E193" s="105">
        <f t="shared" si="33"/>
        <v>274022</v>
      </c>
      <c r="F193" s="18">
        <f t="shared" si="33"/>
        <v>2479</v>
      </c>
      <c r="G193" s="18">
        <f t="shared" si="33"/>
        <v>886</v>
      </c>
      <c r="H193" s="18">
        <f t="shared" si="33"/>
        <v>0</v>
      </c>
      <c r="I193" s="18">
        <f t="shared" si="33"/>
        <v>0</v>
      </c>
      <c r="J193" s="18">
        <f t="shared" si="33"/>
        <v>2000</v>
      </c>
      <c r="K193" s="18">
        <f t="shared" si="33"/>
        <v>1960</v>
      </c>
      <c r="L193" s="18">
        <f t="shared" si="33"/>
        <v>11417</v>
      </c>
      <c r="M193" s="18">
        <f t="shared" si="33"/>
        <v>11705</v>
      </c>
      <c r="N193" s="18">
        <f t="shared" si="33"/>
        <v>1011</v>
      </c>
      <c r="O193" s="18">
        <f t="shared" si="33"/>
        <v>1451</v>
      </c>
      <c r="P193" s="18">
        <f t="shared" si="33"/>
        <v>9140</v>
      </c>
      <c r="Q193" s="18">
        <f t="shared" si="33"/>
        <v>11600</v>
      </c>
      <c r="R193" s="18">
        <f t="shared" si="33"/>
        <v>2854</v>
      </c>
      <c r="S193" s="18">
        <f t="shared" si="33"/>
        <v>2992</v>
      </c>
      <c r="T193" s="18">
        <f t="shared" si="33"/>
        <v>8525</v>
      </c>
      <c r="U193" s="18">
        <f t="shared" si="33"/>
        <v>7814</v>
      </c>
      <c r="V193" s="18">
        <f t="shared" si="33"/>
        <v>2000</v>
      </c>
      <c r="W193" s="18">
        <f t="shared" si="33"/>
        <v>1600</v>
      </c>
      <c r="X193" s="18">
        <f t="shared" si="33"/>
        <v>0</v>
      </c>
      <c r="Y193" s="18">
        <f t="shared" si="33"/>
        <v>0</v>
      </c>
      <c r="Z193" s="18">
        <f t="shared" si="33"/>
        <v>306566</v>
      </c>
      <c r="AA193" s="18">
        <f t="shared" si="33"/>
        <v>314030</v>
      </c>
      <c r="AB193" s="18">
        <f t="shared" si="33"/>
        <v>230</v>
      </c>
      <c r="AC193" s="18">
        <f t="shared" si="33"/>
        <v>50</v>
      </c>
      <c r="AD193" s="18">
        <f t="shared" si="33"/>
        <v>35185</v>
      </c>
      <c r="AE193" s="18">
        <f t="shared" si="33"/>
        <v>31204</v>
      </c>
      <c r="AF193" s="18">
        <f t="shared" si="33"/>
        <v>20229</v>
      </c>
      <c r="AG193" s="18">
        <f t="shared" si="33"/>
        <v>18824</v>
      </c>
      <c r="AH193" s="18">
        <f t="shared" si="33"/>
        <v>1342</v>
      </c>
      <c r="AI193" s="18">
        <f t="shared" si="33"/>
        <v>1314</v>
      </c>
      <c r="AJ193" s="18">
        <f t="shared" si="33"/>
        <v>0</v>
      </c>
      <c r="AK193" s="18">
        <f t="shared" si="33"/>
        <v>0</v>
      </c>
      <c r="AL193" s="18">
        <f t="shared" si="33"/>
        <v>9217</v>
      </c>
      <c r="AM193" s="18">
        <f t="shared" si="33"/>
        <v>9217</v>
      </c>
      <c r="AN193" s="18">
        <f t="shared" si="33"/>
        <v>0</v>
      </c>
      <c r="AO193" s="18">
        <f t="shared" si="33"/>
        <v>0</v>
      </c>
      <c r="AP193" s="18">
        <f t="shared" si="33"/>
        <v>372769</v>
      </c>
      <c r="AQ193" s="18">
        <f t="shared" si="33"/>
        <v>374639</v>
      </c>
      <c r="AR193" s="150"/>
    </row>
    <row r="194" spans="1:44" x14ac:dyDescent="0.25">
      <c r="A194" s="4" t="s">
        <v>185</v>
      </c>
      <c r="B194" s="4" t="s">
        <v>56</v>
      </c>
      <c r="C194" s="5" t="s">
        <v>57</v>
      </c>
      <c r="D194" s="151">
        <v>59017</v>
      </c>
      <c r="E194" s="153">
        <v>46213</v>
      </c>
      <c r="F194" s="151">
        <v>1370</v>
      </c>
      <c r="G194" s="153">
        <v>1490</v>
      </c>
      <c r="H194" s="151">
        <v>810</v>
      </c>
      <c r="I194" s="153">
        <v>4220</v>
      </c>
      <c r="J194" s="151">
        <v>71</v>
      </c>
      <c r="K194" s="153">
        <v>110</v>
      </c>
      <c r="L194" s="151">
        <v>2200</v>
      </c>
      <c r="M194" s="153">
        <v>1600</v>
      </c>
      <c r="N194" s="151">
        <v>420</v>
      </c>
      <c r="O194" s="153">
        <v>440</v>
      </c>
      <c r="P194" s="151">
        <v>2700</v>
      </c>
      <c r="Q194" s="153"/>
      <c r="R194" s="151">
        <v>1500</v>
      </c>
      <c r="S194" s="153">
        <v>1420</v>
      </c>
      <c r="T194" s="151"/>
      <c r="U194" s="153"/>
      <c r="V194" s="151"/>
      <c r="W194" s="153"/>
      <c r="X194" s="151"/>
      <c r="Y194" s="153"/>
      <c r="Z194" s="61">
        <f t="shared" ref="Z194:Z228" si="34">D194+F194+H194+J194+L194+P194+R194+T194+V194+X194+N194</f>
        <v>68088</v>
      </c>
      <c r="AA194" s="75">
        <f t="shared" ref="AA194:AA228" si="35">E194+G194+I194+K194+M194+Q194+S194+U194+W194+Y194+O194</f>
        <v>55493</v>
      </c>
      <c r="AB194" s="151">
        <v>30</v>
      </c>
      <c r="AC194" s="153">
        <v>30</v>
      </c>
      <c r="AD194" s="151">
        <v>4400</v>
      </c>
      <c r="AE194" s="153">
        <v>4350</v>
      </c>
      <c r="AF194" s="151">
        <v>3900</v>
      </c>
      <c r="AG194" s="153">
        <v>3850</v>
      </c>
      <c r="AH194" s="151"/>
      <c r="AI194" s="153"/>
      <c r="AJ194" s="151"/>
      <c r="AK194" s="153"/>
      <c r="AL194" s="151"/>
      <c r="AM194" s="153"/>
      <c r="AN194" s="151"/>
      <c r="AO194" s="153"/>
      <c r="AP194" s="61">
        <f t="shared" ref="AP194:AP228" si="36">Z194+AB194+AD194+AF194+AH194+AJ194+AL194+AN194</f>
        <v>76418</v>
      </c>
      <c r="AQ194" s="75">
        <f t="shared" ref="AQ194:AQ228" si="37">AA194+AC194+AE194+AG194+AI194+AK194+AM194+AO194</f>
        <v>63723</v>
      </c>
      <c r="AR194" s="150" t="s">
        <v>58</v>
      </c>
    </row>
    <row r="195" spans="1:44" x14ac:dyDescent="0.25">
      <c r="A195" s="4" t="s">
        <v>185</v>
      </c>
      <c r="B195" s="4" t="s">
        <v>98</v>
      </c>
      <c r="C195" s="5" t="s">
        <v>99</v>
      </c>
      <c r="D195" s="151"/>
      <c r="E195" s="153"/>
      <c r="F195" s="151">
        <v>130</v>
      </c>
      <c r="G195" s="153">
        <v>130</v>
      </c>
      <c r="H195" s="151">
        <v>100</v>
      </c>
      <c r="I195" s="153">
        <v>256</v>
      </c>
      <c r="J195" s="151"/>
      <c r="K195" s="153"/>
      <c r="L195" s="151">
        <v>60</v>
      </c>
      <c r="M195" s="153">
        <v>60</v>
      </c>
      <c r="N195" s="151"/>
      <c r="O195" s="153">
        <v>60</v>
      </c>
      <c r="P195" s="151">
        <v>260</v>
      </c>
      <c r="Q195" s="153"/>
      <c r="R195" s="151">
        <v>145</v>
      </c>
      <c r="S195" s="153">
        <v>145</v>
      </c>
      <c r="T195" s="151"/>
      <c r="U195" s="153"/>
      <c r="V195" s="151"/>
      <c r="W195" s="153"/>
      <c r="X195" s="151"/>
      <c r="Y195" s="153"/>
      <c r="Z195" s="61">
        <f t="shared" si="34"/>
        <v>695</v>
      </c>
      <c r="AA195" s="75">
        <f t="shared" si="35"/>
        <v>651</v>
      </c>
      <c r="AB195" s="151"/>
      <c r="AC195" s="153"/>
      <c r="AD195" s="151">
        <v>120</v>
      </c>
      <c r="AE195" s="153">
        <v>120</v>
      </c>
      <c r="AF195" s="151">
        <v>250</v>
      </c>
      <c r="AG195" s="153">
        <v>250</v>
      </c>
      <c r="AH195" s="151"/>
      <c r="AI195" s="153"/>
      <c r="AJ195" s="151"/>
      <c r="AK195" s="153"/>
      <c r="AL195" s="151"/>
      <c r="AM195" s="153"/>
      <c r="AN195" s="151"/>
      <c r="AO195" s="153"/>
      <c r="AP195" s="61">
        <f t="shared" si="36"/>
        <v>1065</v>
      </c>
      <c r="AQ195" s="75">
        <f t="shared" si="37"/>
        <v>1021</v>
      </c>
      <c r="AR195" s="150" t="s">
        <v>58</v>
      </c>
    </row>
    <row r="196" spans="1:44" ht="26.25" x14ac:dyDescent="0.25">
      <c r="A196" s="4" t="s">
        <v>185</v>
      </c>
      <c r="B196" s="4" t="s">
        <v>134</v>
      </c>
      <c r="C196" s="5" t="s">
        <v>60</v>
      </c>
      <c r="D196" s="151">
        <v>160880</v>
      </c>
      <c r="E196" s="153">
        <v>168863</v>
      </c>
      <c r="F196" s="151">
        <v>35</v>
      </c>
      <c r="G196" s="153">
        <v>110</v>
      </c>
      <c r="H196" s="151"/>
      <c r="I196" s="153"/>
      <c r="J196" s="151"/>
      <c r="K196" s="153"/>
      <c r="L196" s="151"/>
      <c r="M196" s="153"/>
      <c r="N196" s="151">
        <v>510</v>
      </c>
      <c r="O196" s="153">
        <v>985</v>
      </c>
      <c r="P196" s="151"/>
      <c r="Q196" s="153"/>
      <c r="R196" s="151">
        <v>2800</v>
      </c>
      <c r="S196" s="153">
        <v>2760</v>
      </c>
      <c r="T196" s="151"/>
      <c r="U196" s="153"/>
      <c r="V196" s="151"/>
      <c r="W196" s="153"/>
      <c r="X196" s="151"/>
      <c r="Y196" s="153"/>
      <c r="Z196" s="61">
        <f t="shared" si="34"/>
        <v>164225</v>
      </c>
      <c r="AA196" s="75">
        <f t="shared" si="35"/>
        <v>172718</v>
      </c>
      <c r="AB196" s="151">
        <v>25</v>
      </c>
      <c r="AC196" s="153">
        <v>25</v>
      </c>
      <c r="AD196" s="151">
        <v>4700</v>
      </c>
      <c r="AE196" s="153">
        <v>4650</v>
      </c>
      <c r="AF196" s="151">
        <v>4500</v>
      </c>
      <c r="AG196" s="153">
        <v>4450</v>
      </c>
      <c r="AH196" s="151"/>
      <c r="AI196" s="153"/>
      <c r="AJ196" s="151"/>
      <c r="AK196" s="153"/>
      <c r="AL196" s="151"/>
      <c r="AM196" s="153"/>
      <c r="AN196" s="151">
        <v>180</v>
      </c>
      <c r="AO196" s="153"/>
      <c r="AP196" s="61">
        <f t="shared" si="36"/>
        <v>173630</v>
      </c>
      <c r="AQ196" s="75">
        <f t="shared" si="37"/>
        <v>181843</v>
      </c>
      <c r="AR196" s="150" t="s">
        <v>167</v>
      </c>
    </row>
    <row r="197" spans="1:44" x14ac:dyDescent="0.25">
      <c r="A197" s="4" t="s">
        <v>185</v>
      </c>
      <c r="B197" s="4" t="s">
        <v>164</v>
      </c>
      <c r="C197" s="5" t="s">
        <v>165</v>
      </c>
      <c r="D197" s="151"/>
      <c r="E197" s="153"/>
      <c r="F197" s="151"/>
      <c r="G197" s="153"/>
      <c r="H197" s="151"/>
      <c r="I197" s="153"/>
      <c r="J197" s="151"/>
      <c r="K197" s="153"/>
      <c r="L197" s="151"/>
      <c r="M197" s="153"/>
      <c r="N197" s="151"/>
      <c r="O197" s="153"/>
      <c r="P197" s="151"/>
      <c r="Q197" s="153"/>
      <c r="R197" s="151"/>
      <c r="S197" s="153"/>
      <c r="T197" s="151"/>
      <c r="U197" s="153"/>
      <c r="V197" s="151"/>
      <c r="W197" s="153"/>
      <c r="X197" s="151"/>
      <c r="Y197" s="153"/>
      <c r="Z197" s="61">
        <f t="shared" si="34"/>
        <v>0</v>
      </c>
      <c r="AA197" s="75">
        <f t="shared" si="35"/>
        <v>0</v>
      </c>
      <c r="AB197" s="151"/>
      <c r="AC197" s="153"/>
      <c r="AD197" s="151">
        <v>1580</v>
      </c>
      <c r="AE197" s="153">
        <v>1580</v>
      </c>
      <c r="AF197" s="151">
        <v>650</v>
      </c>
      <c r="AG197" s="153">
        <v>650</v>
      </c>
      <c r="AH197" s="151"/>
      <c r="AI197" s="153"/>
      <c r="AJ197" s="151"/>
      <c r="AK197" s="153"/>
      <c r="AL197" s="151"/>
      <c r="AM197" s="153"/>
      <c r="AN197" s="151"/>
      <c r="AO197" s="153"/>
      <c r="AP197" s="61">
        <f t="shared" si="36"/>
        <v>2230</v>
      </c>
      <c r="AQ197" s="75">
        <f t="shared" si="37"/>
        <v>2230</v>
      </c>
      <c r="AR197" s="150" t="s">
        <v>186</v>
      </c>
    </row>
    <row r="198" spans="1:44" ht="26.25" x14ac:dyDescent="0.25">
      <c r="A198" s="4" t="s">
        <v>185</v>
      </c>
      <c r="B198" s="4" t="s">
        <v>62</v>
      </c>
      <c r="C198" s="5" t="s">
        <v>60</v>
      </c>
      <c r="D198" s="151"/>
      <c r="E198" s="153"/>
      <c r="F198" s="151"/>
      <c r="G198" s="153"/>
      <c r="H198" s="151"/>
      <c r="I198" s="153"/>
      <c r="J198" s="151"/>
      <c r="K198" s="153"/>
      <c r="L198" s="151"/>
      <c r="M198" s="153"/>
      <c r="N198" s="151"/>
      <c r="O198" s="153"/>
      <c r="P198" s="151"/>
      <c r="Q198" s="153"/>
      <c r="R198" s="151"/>
      <c r="S198" s="153"/>
      <c r="T198" s="151"/>
      <c r="U198" s="153"/>
      <c r="V198" s="151"/>
      <c r="W198" s="153"/>
      <c r="X198" s="151"/>
      <c r="Y198" s="153"/>
      <c r="Z198" s="61">
        <f t="shared" si="34"/>
        <v>0</v>
      </c>
      <c r="AA198" s="75">
        <f t="shared" si="35"/>
        <v>0</v>
      </c>
      <c r="AB198" s="151"/>
      <c r="AC198" s="153"/>
      <c r="AD198" s="151">
        <v>17309</v>
      </c>
      <c r="AE198" s="153">
        <f>22120-AG198</f>
        <v>17120</v>
      </c>
      <c r="AF198" s="151">
        <v>5000</v>
      </c>
      <c r="AG198" s="153">
        <v>5000</v>
      </c>
      <c r="AH198" s="151"/>
      <c r="AI198" s="153"/>
      <c r="AJ198" s="151"/>
      <c r="AK198" s="153"/>
      <c r="AL198" s="151"/>
      <c r="AM198" s="153"/>
      <c r="AN198" s="151"/>
      <c r="AO198" s="153"/>
      <c r="AP198" s="61">
        <f t="shared" si="36"/>
        <v>22309</v>
      </c>
      <c r="AQ198" s="75">
        <f t="shared" si="37"/>
        <v>22120</v>
      </c>
      <c r="AR198" s="150" t="s">
        <v>171</v>
      </c>
    </row>
    <row r="199" spans="1:44" x14ac:dyDescent="0.25">
      <c r="A199" s="4" t="s">
        <v>185</v>
      </c>
      <c r="B199" s="4" t="s">
        <v>64</v>
      </c>
      <c r="C199" s="5" t="s">
        <v>60</v>
      </c>
      <c r="D199" s="151"/>
      <c r="E199" s="153"/>
      <c r="F199" s="151"/>
      <c r="G199" s="153"/>
      <c r="H199" s="151"/>
      <c r="I199" s="153"/>
      <c r="J199" s="151"/>
      <c r="K199" s="153"/>
      <c r="L199" s="151"/>
      <c r="M199" s="153"/>
      <c r="N199" s="151"/>
      <c r="O199" s="153"/>
      <c r="P199" s="151"/>
      <c r="Q199" s="153"/>
      <c r="R199" s="151"/>
      <c r="S199" s="153"/>
      <c r="T199" s="151"/>
      <c r="U199" s="153"/>
      <c r="V199" s="151"/>
      <c r="W199" s="153"/>
      <c r="X199" s="151"/>
      <c r="Y199" s="153"/>
      <c r="Z199" s="61">
        <f t="shared" si="34"/>
        <v>0</v>
      </c>
      <c r="AA199" s="75">
        <f t="shared" si="35"/>
        <v>0</v>
      </c>
      <c r="AB199" s="151"/>
      <c r="AC199" s="153"/>
      <c r="AD199" s="151">
        <v>25713</v>
      </c>
      <c r="AE199" s="153">
        <v>34084</v>
      </c>
      <c r="AF199" s="151">
        <v>10000</v>
      </c>
      <c r="AG199" s="153"/>
      <c r="AH199" s="151"/>
      <c r="AI199" s="153"/>
      <c r="AJ199" s="151"/>
      <c r="AK199" s="153"/>
      <c r="AL199" s="151"/>
      <c r="AM199" s="153"/>
      <c r="AN199" s="151"/>
      <c r="AO199" s="153"/>
      <c r="AP199" s="61">
        <f t="shared" si="36"/>
        <v>35713</v>
      </c>
      <c r="AQ199" s="75">
        <f t="shared" si="37"/>
        <v>34084</v>
      </c>
      <c r="AR199" s="150" t="s">
        <v>171</v>
      </c>
    </row>
    <row r="200" spans="1:44" x14ac:dyDescent="0.25">
      <c r="A200" s="4" t="s">
        <v>185</v>
      </c>
      <c r="B200" s="4" t="s">
        <v>187</v>
      </c>
      <c r="C200" s="5" t="s">
        <v>73</v>
      </c>
      <c r="D200" s="151">
        <v>8443</v>
      </c>
      <c r="E200" s="153">
        <v>9002</v>
      </c>
      <c r="F200" s="151">
        <v>45</v>
      </c>
      <c r="G200" s="153">
        <v>38</v>
      </c>
      <c r="H200" s="151">
        <v>1100</v>
      </c>
      <c r="I200" s="153">
        <v>1331</v>
      </c>
      <c r="J200" s="151">
        <v>256</v>
      </c>
      <c r="K200" s="153">
        <v>245</v>
      </c>
      <c r="L200" s="151">
        <v>550</v>
      </c>
      <c r="M200" s="153">
        <v>530</v>
      </c>
      <c r="N200" s="151">
        <v>140</v>
      </c>
      <c r="O200" s="153">
        <v>150</v>
      </c>
      <c r="P200" s="151">
        <v>800</v>
      </c>
      <c r="Q200" s="153"/>
      <c r="R200" s="151">
        <v>30</v>
      </c>
      <c r="S200" s="153">
        <v>25</v>
      </c>
      <c r="T200" s="151"/>
      <c r="U200" s="153"/>
      <c r="V200" s="151"/>
      <c r="W200" s="153"/>
      <c r="X200" s="151"/>
      <c r="Y200" s="153"/>
      <c r="Z200" s="61">
        <f t="shared" si="34"/>
        <v>11364</v>
      </c>
      <c r="AA200" s="75">
        <f t="shared" si="35"/>
        <v>11321</v>
      </c>
      <c r="AB200" s="151"/>
      <c r="AC200" s="153"/>
      <c r="AD200" s="151">
        <v>430</v>
      </c>
      <c r="AE200" s="153">
        <v>420</v>
      </c>
      <c r="AF200" s="151">
        <v>550</v>
      </c>
      <c r="AG200" s="153">
        <v>540</v>
      </c>
      <c r="AH200" s="151">
        <v>2084</v>
      </c>
      <c r="AI200" s="153">
        <v>1555</v>
      </c>
      <c r="AJ200" s="151"/>
      <c r="AK200" s="153"/>
      <c r="AL200" s="151"/>
      <c r="AM200" s="153"/>
      <c r="AN200" s="151"/>
      <c r="AO200" s="153"/>
      <c r="AP200" s="61">
        <f t="shared" si="36"/>
        <v>14428</v>
      </c>
      <c r="AQ200" s="75">
        <f t="shared" si="37"/>
        <v>13836</v>
      </c>
      <c r="AR200" s="150" t="s">
        <v>74</v>
      </c>
    </row>
    <row r="201" spans="1:44" x14ac:dyDescent="0.25">
      <c r="A201" s="4" t="s">
        <v>185</v>
      </c>
      <c r="B201" s="4" t="s">
        <v>188</v>
      </c>
      <c r="C201" s="5" t="s">
        <v>73</v>
      </c>
      <c r="D201" s="151">
        <v>5524</v>
      </c>
      <c r="E201" s="153">
        <v>5992</v>
      </c>
      <c r="F201" s="151"/>
      <c r="G201" s="153"/>
      <c r="H201" s="151"/>
      <c r="I201" s="153"/>
      <c r="J201" s="151"/>
      <c r="K201" s="153"/>
      <c r="L201" s="151">
        <v>120</v>
      </c>
      <c r="M201" s="153">
        <v>120</v>
      </c>
      <c r="N201" s="151"/>
      <c r="O201" s="153"/>
      <c r="P201" s="151">
        <v>400</v>
      </c>
      <c r="Q201" s="153">
        <v>400</v>
      </c>
      <c r="R201" s="151"/>
      <c r="S201" s="153"/>
      <c r="T201" s="151"/>
      <c r="U201" s="153"/>
      <c r="V201" s="151"/>
      <c r="W201" s="153"/>
      <c r="X201" s="151"/>
      <c r="Y201" s="153"/>
      <c r="Z201" s="61">
        <f t="shared" si="34"/>
        <v>6044</v>
      </c>
      <c r="AA201" s="75">
        <f t="shared" si="35"/>
        <v>6512</v>
      </c>
      <c r="AB201" s="151"/>
      <c r="AC201" s="153"/>
      <c r="AD201" s="151">
        <v>250</v>
      </c>
      <c r="AE201" s="153">
        <v>240</v>
      </c>
      <c r="AF201" s="151">
        <v>300</v>
      </c>
      <c r="AG201" s="153">
        <v>280</v>
      </c>
      <c r="AH201" s="151">
        <v>430</v>
      </c>
      <c r="AI201" s="153">
        <v>900</v>
      </c>
      <c r="AJ201" s="151"/>
      <c r="AK201" s="153"/>
      <c r="AL201" s="151"/>
      <c r="AM201" s="153"/>
      <c r="AN201" s="151"/>
      <c r="AO201" s="153"/>
      <c r="AP201" s="61">
        <f t="shared" si="36"/>
        <v>7024</v>
      </c>
      <c r="AQ201" s="75">
        <f t="shared" si="37"/>
        <v>7932</v>
      </c>
      <c r="AR201" s="150" t="s">
        <v>74</v>
      </c>
    </row>
    <row r="202" spans="1:44" ht="26.25" x14ac:dyDescent="0.25">
      <c r="A202" s="4" t="s">
        <v>185</v>
      </c>
      <c r="B202" s="4" t="s">
        <v>189</v>
      </c>
      <c r="C202" s="5" t="s">
        <v>79</v>
      </c>
      <c r="D202" s="151">
        <v>15412</v>
      </c>
      <c r="E202" s="153">
        <v>15780</v>
      </c>
      <c r="F202" s="151">
        <v>450</v>
      </c>
      <c r="G202" s="153">
        <v>380</v>
      </c>
      <c r="H202" s="151">
        <v>760</v>
      </c>
      <c r="I202" s="153">
        <v>1690</v>
      </c>
      <c r="J202" s="151">
        <v>80</v>
      </c>
      <c r="K202" s="153">
        <v>70</v>
      </c>
      <c r="L202" s="151">
        <v>400</v>
      </c>
      <c r="M202" s="153">
        <v>400</v>
      </c>
      <c r="N202" s="151">
        <v>90</v>
      </c>
      <c r="O202" s="153">
        <v>95</v>
      </c>
      <c r="P202" s="151">
        <v>1540</v>
      </c>
      <c r="Q202" s="153"/>
      <c r="R202" s="151">
        <v>200</v>
      </c>
      <c r="S202" s="153">
        <v>180</v>
      </c>
      <c r="T202" s="151"/>
      <c r="U202" s="153"/>
      <c r="V202" s="151"/>
      <c r="W202" s="153"/>
      <c r="X202" s="151"/>
      <c r="Y202" s="153"/>
      <c r="Z202" s="61">
        <f t="shared" si="34"/>
        <v>18932</v>
      </c>
      <c r="AA202" s="75">
        <f t="shared" si="35"/>
        <v>18595</v>
      </c>
      <c r="AB202" s="151">
        <v>25</v>
      </c>
      <c r="AC202" s="153">
        <v>25</v>
      </c>
      <c r="AD202" s="151">
        <v>540</v>
      </c>
      <c r="AE202" s="153">
        <v>520</v>
      </c>
      <c r="AF202" s="151">
        <v>1480</v>
      </c>
      <c r="AG202" s="153">
        <v>1460</v>
      </c>
      <c r="AH202" s="151"/>
      <c r="AI202" s="153"/>
      <c r="AJ202" s="151"/>
      <c r="AK202" s="153"/>
      <c r="AL202" s="151"/>
      <c r="AM202" s="153"/>
      <c r="AN202" s="151"/>
      <c r="AO202" s="153"/>
      <c r="AP202" s="61">
        <f t="shared" si="36"/>
        <v>20977</v>
      </c>
      <c r="AQ202" s="75">
        <f t="shared" si="37"/>
        <v>20600</v>
      </c>
      <c r="AR202" s="150" t="s">
        <v>128</v>
      </c>
    </row>
    <row r="203" spans="1:44" x14ac:dyDescent="0.25">
      <c r="A203" s="4" t="s">
        <v>185</v>
      </c>
      <c r="B203" s="4" t="s">
        <v>190</v>
      </c>
      <c r="C203" s="5" t="s">
        <v>82</v>
      </c>
      <c r="D203" s="151">
        <v>24972</v>
      </c>
      <c r="E203" s="153">
        <v>29513</v>
      </c>
      <c r="F203" s="151">
        <v>420</v>
      </c>
      <c r="G203" s="153">
        <v>475</v>
      </c>
      <c r="H203" s="151">
        <v>4800</v>
      </c>
      <c r="I203" s="153">
        <v>9880</v>
      </c>
      <c r="J203" s="151">
        <v>1560</v>
      </c>
      <c r="K203" s="153">
        <v>1750</v>
      </c>
      <c r="L203" s="151">
        <v>4300</v>
      </c>
      <c r="M203" s="153">
        <v>4050</v>
      </c>
      <c r="N203" s="151">
        <v>550</v>
      </c>
      <c r="O203" s="153">
        <v>565</v>
      </c>
      <c r="P203" s="151">
        <v>3275</v>
      </c>
      <c r="Q203" s="153"/>
      <c r="R203" s="151">
        <v>1440</v>
      </c>
      <c r="S203" s="153">
        <v>1800</v>
      </c>
      <c r="T203" s="151">
        <v>9104</v>
      </c>
      <c r="U203" s="153">
        <v>9104</v>
      </c>
      <c r="V203" s="151"/>
      <c r="W203" s="153"/>
      <c r="X203" s="151"/>
      <c r="Y203" s="153"/>
      <c r="Z203" s="61">
        <f t="shared" si="34"/>
        <v>50421</v>
      </c>
      <c r="AA203" s="75">
        <f t="shared" si="35"/>
        <v>57137</v>
      </c>
      <c r="AB203" s="151">
        <v>25</v>
      </c>
      <c r="AC203" s="153">
        <v>25</v>
      </c>
      <c r="AD203" s="151">
        <v>5000</v>
      </c>
      <c r="AE203" s="153">
        <v>4890</v>
      </c>
      <c r="AF203" s="151">
        <v>7000</v>
      </c>
      <c r="AG203" s="153">
        <v>6900</v>
      </c>
      <c r="AH203" s="151"/>
      <c r="AI203" s="153"/>
      <c r="AJ203" s="151"/>
      <c r="AK203" s="153"/>
      <c r="AL203" s="151"/>
      <c r="AM203" s="153"/>
      <c r="AN203" s="151"/>
      <c r="AO203" s="153"/>
      <c r="AP203" s="61">
        <f t="shared" si="36"/>
        <v>62446</v>
      </c>
      <c r="AQ203" s="75">
        <f t="shared" si="37"/>
        <v>68952</v>
      </c>
      <c r="AR203" s="150" t="s">
        <v>128</v>
      </c>
    </row>
    <row r="204" spans="1:44" ht="26.25" x14ac:dyDescent="0.25">
      <c r="A204" s="4" t="s">
        <v>185</v>
      </c>
      <c r="B204" s="4" t="s">
        <v>83</v>
      </c>
      <c r="C204" s="5" t="s">
        <v>82</v>
      </c>
      <c r="D204" s="151">
        <f>34209+625</f>
        <v>34834</v>
      </c>
      <c r="E204" s="153">
        <v>36088</v>
      </c>
      <c r="F204" s="151"/>
      <c r="G204" s="153"/>
      <c r="H204" s="151"/>
      <c r="I204" s="153"/>
      <c r="J204" s="151"/>
      <c r="K204" s="153"/>
      <c r="L204" s="151"/>
      <c r="M204" s="153"/>
      <c r="N204" s="151"/>
      <c r="O204" s="153"/>
      <c r="P204" s="151"/>
      <c r="Q204" s="153"/>
      <c r="R204" s="151"/>
      <c r="S204" s="153"/>
      <c r="T204" s="151"/>
      <c r="U204" s="153"/>
      <c r="V204" s="151"/>
      <c r="W204" s="153"/>
      <c r="X204" s="151"/>
      <c r="Y204" s="153"/>
      <c r="Z204" s="61">
        <f t="shared" si="34"/>
        <v>34834</v>
      </c>
      <c r="AA204" s="75">
        <f t="shared" si="35"/>
        <v>36088</v>
      </c>
      <c r="AB204" s="151"/>
      <c r="AC204" s="153"/>
      <c r="AD204" s="151"/>
      <c r="AE204" s="153"/>
      <c r="AF204" s="151"/>
      <c r="AG204" s="153"/>
      <c r="AH204" s="151"/>
      <c r="AI204" s="153"/>
      <c r="AJ204" s="151"/>
      <c r="AK204" s="153"/>
      <c r="AL204" s="151"/>
      <c r="AM204" s="153"/>
      <c r="AN204" s="151"/>
      <c r="AO204" s="153"/>
      <c r="AP204" s="61">
        <f t="shared" si="36"/>
        <v>34834</v>
      </c>
      <c r="AQ204" s="75">
        <f t="shared" si="37"/>
        <v>36088</v>
      </c>
      <c r="AR204" s="150" t="s">
        <v>128</v>
      </c>
    </row>
    <row r="205" spans="1:44" x14ac:dyDescent="0.25">
      <c r="A205" s="4" t="s">
        <v>185</v>
      </c>
      <c r="B205" s="4" t="s">
        <v>191</v>
      </c>
      <c r="C205" s="5" t="s">
        <v>86</v>
      </c>
      <c r="D205" s="151">
        <v>36317</v>
      </c>
      <c r="E205" s="153">
        <v>40666</v>
      </c>
      <c r="F205" s="151">
        <v>480</v>
      </c>
      <c r="G205" s="153">
        <v>660</v>
      </c>
      <c r="H205" s="151">
        <v>18200</v>
      </c>
      <c r="I205" s="153">
        <v>37065</v>
      </c>
      <c r="J205" s="151">
        <v>3700</v>
      </c>
      <c r="K205" s="153">
        <v>3980</v>
      </c>
      <c r="L205" s="151">
        <v>13000</v>
      </c>
      <c r="M205" s="153">
        <v>11800</v>
      </c>
      <c r="N205" s="151">
        <v>1900</v>
      </c>
      <c r="O205" s="153">
        <v>1850</v>
      </c>
      <c r="P205" s="151">
        <v>12200</v>
      </c>
      <c r="Q205" s="153"/>
      <c r="R205" s="151">
        <v>1600</v>
      </c>
      <c r="S205" s="153">
        <v>1360</v>
      </c>
      <c r="T205" s="151">
        <v>6809</v>
      </c>
      <c r="U205" s="153">
        <v>6871</v>
      </c>
      <c r="V205" s="151"/>
      <c r="W205" s="153"/>
      <c r="X205" s="151"/>
      <c r="Y205" s="153"/>
      <c r="Z205" s="61">
        <f t="shared" si="34"/>
        <v>94206</v>
      </c>
      <c r="AA205" s="75">
        <f t="shared" si="35"/>
        <v>104252</v>
      </c>
      <c r="AB205" s="151">
        <v>100</v>
      </c>
      <c r="AC205" s="153">
        <v>100</v>
      </c>
      <c r="AD205" s="151">
        <v>12000</v>
      </c>
      <c r="AE205" s="153">
        <v>11650</v>
      </c>
      <c r="AF205" s="151">
        <v>15800</v>
      </c>
      <c r="AG205" s="153">
        <v>15400</v>
      </c>
      <c r="AH205" s="151"/>
      <c r="AI205" s="153"/>
      <c r="AJ205" s="151"/>
      <c r="AK205" s="153"/>
      <c r="AL205" s="151"/>
      <c r="AM205" s="153"/>
      <c r="AN205" s="151"/>
      <c r="AO205" s="153"/>
      <c r="AP205" s="61">
        <f t="shared" si="36"/>
        <v>122106</v>
      </c>
      <c r="AQ205" s="75">
        <f t="shared" si="37"/>
        <v>131402</v>
      </c>
      <c r="AR205" s="150" t="s">
        <v>128</v>
      </c>
    </row>
    <row r="206" spans="1:44" ht="26.25" x14ac:dyDescent="0.25">
      <c r="A206" s="4" t="s">
        <v>185</v>
      </c>
      <c r="B206" s="4" t="s">
        <v>88</v>
      </c>
      <c r="C206" s="5" t="s">
        <v>86</v>
      </c>
      <c r="D206" s="151"/>
      <c r="E206" s="153"/>
      <c r="F206" s="151"/>
      <c r="G206" s="153"/>
      <c r="H206" s="151"/>
      <c r="I206" s="153"/>
      <c r="J206" s="151"/>
      <c r="K206" s="153"/>
      <c r="L206" s="151"/>
      <c r="M206" s="153"/>
      <c r="N206" s="151"/>
      <c r="O206" s="153"/>
      <c r="P206" s="151"/>
      <c r="Q206" s="153"/>
      <c r="R206" s="151"/>
      <c r="S206" s="153"/>
      <c r="T206" s="151">
        <v>3476</v>
      </c>
      <c r="U206" s="153">
        <v>3135</v>
      </c>
      <c r="V206" s="151"/>
      <c r="W206" s="153"/>
      <c r="X206" s="151"/>
      <c r="Y206" s="153"/>
      <c r="Z206" s="61">
        <f t="shared" si="34"/>
        <v>3476</v>
      </c>
      <c r="AA206" s="75">
        <f t="shared" si="35"/>
        <v>3135</v>
      </c>
      <c r="AB206" s="151"/>
      <c r="AC206" s="153"/>
      <c r="AD206" s="151"/>
      <c r="AE206" s="153"/>
      <c r="AF206" s="151"/>
      <c r="AG206" s="153"/>
      <c r="AH206" s="151"/>
      <c r="AI206" s="153"/>
      <c r="AJ206" s="151"/>
      <c r="AK206" s="153"/>
      <c r="AL206" s="151"/>
      <c r="AM206" s="153"/>
      <c r="AN206" s="151"/>
      <c r="AO206" s="153"/>
      <c r="AP206" s="61">
        <f t="shared" si="36"/>
        <v>3476</v>
      </c>
      <c r="AQ206" s="75">
        <f t="shared" si="37"/>
        <v>3135</v>
      </c>
      <c r="AR206" s="150" t="s">
        <v>128</v>
      </c>
    </row>
    <row r="207" spans="1:44" ht="26.25" x14ac:dyDescent="0.25">
      <c r="A207" s="4" t="s">
        <v>185</v>
      </c>
      <c r="B207" s="4" t="s">
        <v>89</v>
      </c>
      <c r="C207" s="5" t="s">
        <v>86</v>
      </c>
      <c r="D207" s="151"/>
      <c r="E207" s="153"/>
      <c r="F207" s="151"/>
      <c r="G207" s="153"/>
      <c r="H207" s="151"/>
      <c r="I207" s="153"/>
      <c r="J207" s="151"/>
      <c r="K207" s="153"/>
      <c r="L207" s="151"/>
      <c r="M207" s="153"/>
      <c r="N207" s="151"/>
      <c r="O207" s="153"/>
      <c r="P207" s="151"/>
      <c r="Q207" s="153"/>
      <c r="R207" s="151"/>
      <c r="S207" s="153"/>
      <c r="T207" s="151">
        <v>3476</v>
      </c>
      <c r="U207" s="153">
        <v>3135</v>
      </c>
      <c r="V207" s="151"/>
      <c r="W207" s="153"/>
      <c r="X207" s="151"/>
      <c r="Y207" s="153"/>
      <c r="Z207" s="61">
        <f t="shared" si="34"/>
        <v>3476</v>
      </c>
      <c r="AA207" s="75">
        <f t="shared" si="35"/>
        <v>3135</v>
      </c>
      <c r="AB207" s="151"/>
      <c r="AC207" s="153"/>
      <c r="AD207" s="151"/>
      <c r="AE207" s="153"/>
      <c r="AF207" s="151"/>
      <c r="AG207" s="153"/>
      <c r="AH207" s="151"/>
      <c r="AI207" s="153"/>
      <c r="AJ207" s="151"/>
      <c r="AK207" s="153"/>
      <c r="AL207" s="151"/>
      <c r="AM207" s="153"/>
      <c r="AN207" s="151"/>
      <c r="AO207" s="153"/>
      <c r="AP207" s="61">
        <f t="shared" si="36"/>
        <v>3476</v>
      </c>
      <c r="AQ207" s="75">
        <f t="shared" si="37"/>
        <v>3135</v>
      </c>
      <c r="AR207" s="150" t="s">
        <v>128</v>
      </c>
    </row>
    <row r="208" spans="1:44" ht="26.25" x14ac:dyDescent="0.25">
      <c r="A208" s="4" t="s">
        <v>185</v>
      </c>
      <c r="B208" s="4" t="s">
        <v>192</v>
      </c>
      <c r="C208" s="6" t="s">
        <v>86</v>
      </c>
      <c r="D208" s="151">
        <v>7445</v>
      </c>
      <c r="E208" s="153">
        <v>7811</v>
      </c>
      <c r="F208" s="151"/>
      <c r="G208" s="153"/>
      <c r="H208" s="151"/>
      <c r="I208" s="153"/>
      <c r="J208" s="151"/>
      <c r="K208" s="153"/>
      <c r="L208" s="151"/>
      <c r="M208" s="153"/>
      <c r="N208" s="151"/>
      <c r="O208" s="153"/>
      <c r="P208" s="151"/>
      <c r="Q208" s="153"/>
      <c r="R208" s="151"/>
      <c r="S208" s="153"/>
      <c r="T208" s="151"/>
      <c r="U208" s="153"/>
      <c r="V208" s="151"/>
      <c r="W208" s="153"/>
      <c r="X208" s="151"/>
      <c r="Y208" s="153"/>
      <c r="Z208" s="61">
        <f t="shared" si="34"/>
        <v>7445</v>
      </c>
      <c r="AA208" s="75">
        <f t="shared" si="35"/>
        <v>7811</v>
      </c>
      <c r="AB208" s="151"/>
      <c r="AC208" s="153"/>
      <c r="AD208" s="151"/>
      <c r="AE208" s="153"/>
      <c r="AF208" s="151"/>
      <c r="AG208" s="153"/>
      <c r="AH208" s="151"/>
      <c r="AI208" s="153"/>
      <c r="AJ208" s="151"/>
      <c r="AK208" s="153"/>
      <c r="AL208" s="151"/>
      <c r="AM208" s="153"/>
      <c r="AN208" s="151"/>
      <c r="AO208" s="153"/>
      <c r="AP208" s="61">
        <f t="shared" si="36"/>
        <v>7445</v>
      </c>
      <c r="AQ208" s="75">
        <f t="shared" si="37"/>
        <v>7811</v>
      </c>
      <c r="AR208" s="150" t="s">
        <v>128</v>
      </c>
    </row>
    <row r="209" spans="1:44" x14ac:dyDescent="0.25">
      <c r="A209" s="4" t="s">
        <v>185</v>
      </c>
      <c r="B209" s="4" t="s">
        <v>118</v>
      </c>
      <c r="C209" s="5" t="s">
        <v>119</v>
      </c>
      <c r="D209" s="151">
        <v>93008</v>
      </c>
      <c r="E209" s="153">
        <v>143177</v>
      </c>
      <c r="F209" s="151">
        <v>680</v>
      </c>
      <c r="G209" s="153">
        <v>660</v>
      </c>
      <c r="H209" s="151">
        <v>4800</v>
      </c>
      <c r="I209" s="153">
        <v>6485</v>
      </c>
      <c r="J209" s="151">
        <v>2285</v>
      </c>
      <c r="K209" s="153">
        <v>2500</v>
      </c>
      <c r="L209" s="151">
        <v>6200</v>
      </c>
      <c r="M209" s="153">
        <v>6250</v>
      </c>
      <c r="N209" s="151">
        <v>1080</v>
      </c>
      <c r="O209" s="153">
        <v>980</v>
      </c>
      <c r="P209" s="151">
        <v>3275</v>
      </c>
      <c r="Q209" s="153"/>
      <c r="R209" s="151">
        <v>1400</v>
      </c>
      <c r="S209" s="153">
        <v>1300</v>
      </c>
      <c r="T209" s="151">
        <v>32641</v>
      </c>
      <c r="U209" s="153">
        <v>33000</v>
      </c>
      <c r="V209" s="151"/>
      <c r="W209" s="153"/>
      <c r="X209" s="151"/>
      <c r="Y209" s="153"/>
      <c r="Z209" s="61">
        <f t="shared" si="34"/>
        <v>145369</v>
      </c>
      <c r="AA209" s="75">
        <f t="shared" si="35"/>
        <v>194352</v>
      </c>
      <c r="AB209" s="151">
        <v>30</v>
      </c>
      <c r="AC209" s="153">
        <v>30</v>
      </c>
      <c r="AD209" s="151">
        <v>5000</v>
      </c>
      <c r="AE209" s="153">
        <v>5000</v>
      </c>
      <c r="AF209" s="151">
        <v>17500</v>
      </c>
      <c r="AG209" s="153">
        <v>17400</v>
      </c>
      <c r="AH209" s="151"/>
      <c r="AI209" s="153"/>
      <c r="AJ209" s="151"/>
      <c r="AK209" s="153"/>
      <c r="AL209" s="151"/>
      <c r="AM209" s="153"/>
      <c r="AN209" s="151"/>
      <c r="AO209" s="153"/>
      <c r="AP209" s="61">
        <f t="shared" si="36"/>
        <v>167899</v>
      </c>
      <c r="AQ209" s="75">
        <f t="shared" si="37"/>
        <v>216782</v>
      </c>
      <c r="AR209" s="150" t="s">
        <v>193</v>
      </c>
    </row>
    <row r="210" spans="1:44" ht="39" x14ac:dyDescent="0.25">
      <c r="A210" s="4" t="s">
        <v>185</v>
      </c>
      <c r="B210" s="4" t="s">
        <v>120</v>
      </c>
      <c r="C210" s="5" t="s">
        <v>119</v>
      </c>
      <c r="D210" s="151">
        <v>3943</v>
      </c>
      <c r="E210" s="153">
        <v>3943</v>
      </c>
      <c r="F210" s="151"/>
      <c r="G210" s="153"/>
      <c r="H210" s="151"/>
      <c r="I210" s="153"/>
      <c r="J210" s="151"/>
      <c r="K210" s="153"/>
      <c r="L210" s="151"/>
      <c r="M210" s="153"/>
      <c r="N210" s="151"/>
      <c r="O210" s="153"/>
      <c r="P210" s="151"/>
      <c r="Q210" s="153"/>
      <c r="R210" s="151"/>
      <c r="S210" s="153"/>
      <c r="T210" s="151"/>
      <c r="U210" s="153"/>
      <c r="V210" s="151"/>
      <c r="W210" s="153"/>
      <c r="X210" s="151"/>
      <c r="Y210" s="153"/>
      <c r="Z210" s="61">
        <f t="shared" si="34"/>
        <v>3943</v>
      </c>
      <c r="AA210" s="75">
        <f t="shared" si="35"/>
        <v>3943</v>
      </c>
      <c r="AB210" s="151"/>
      <c r="AC210" s="153"/>
      <c r="AD210" s="151"/>
      <c r="AE210" s="153"/>
      <c r="AF210" s="151"/>
      <c r="AG210" s="153"/>
      <c r="AH210" s="151"/>
      <c r="AI210" s="153"/>
      <c r="AJ210" s="151"/>
      <c r="AK210" s="153"/>
      <c r="AL210" s="151"/>
      <c r="AM210" s="153"/>
      <c r="AN210" s="151"/>
      <c r="AO210" s="153"/>
      <c r="AP210" s="61">
        <f t="shared" si="36"/>
        <v>3943</v>
      </c>
      <c r="AQ210" s="75">
        <f t="shared" si="37"/>
        <v>3943</v>
      </c>
      <c r="AR210" s="150" t="s">
        <v>193</v>
      </c>
    </row>
    <row r="211" spans="1:44" ht="26.25" x14ac:dyDescent="0.25">
      <c r="A211" s="4" t="s">
        <v>185</v>
      </c>
      <c r="B211" s="4" t="s">
        <v>121</v>
      </c>
      <c r="C211" s="5" t="s">
        <v>119</v>
      </c>
      <c r="D211" s="151">
        <v>3340</v>
      </c>
      <c r="E211" s="153">
        <v>3340</v>
      </c>
      <c r="F211" s="151"/>
      <c r="G211" s="153"/>
      <c r="H211" s="151"/>
      <c r="I211" s="153"/>
      <c r="J211" s="151"/>
      <c r="K211" s="153"/>
      <c r="L211" s="151"/>
      <c r="M211" s="153"/>
      <c r="N211" s="151"/>
      <c r="O211" s="153"/>
      <c r="P211" s="151"/>
      <c r="Q211" s="153"/>
      <c r="R211" s="151"/>
      <c r="S211" s="153"/>
      <c r="T211" s="151"/>
      <c r="U211" s="153"/>
      <c r="V211" s="151"/>
      <c r="W211" s="153"/>
      <c r="X211" s="151"/>
      <c r="Y211" s="153"/>
      <c r="Z211" s="61">
        <f t="shared" si="34"/>
        <v>3340</v>
      </c>
      <c r="AA211" s="75">
        <f t="shared" si="35"/>
        <v>3340</v>
      </c>
      <c r="AB211" s="151"/>
      <c r="AC211" s="153"/>
      <c r="AD211" s="151"/>
      <c r="AE211" s="153"/>
      <c r="AF211" s="151"/>
      <c r="AG211" s="153"/>
      <c r="AH211" s="151"/>
      <c r="AI211" s="153"/>
      <c r="AJ211" s="151"/>
      <c r="AK211" s="153"/>
      <c r="AL211" s="151"/>
      <c r="AM211" s="153"/>
      <c r="AN211" s="151"/>
      <c r="AO211" s="153"/>
      <c r="AP211" s="61">
        <f t="shared" si="36"/>
        <v>3340</v>
      </c>
      <c r="AQ211" s="75">
        <f t="shared" si="37"/>
        <v>3340</v>
      </c>
      <c r="AR211" s="150" t="s">
        <v>193</v>
      </c>
    </row>
    <row r="212" spans="1:44" x14ac:dyDescent="0.25">
      <c r="A212" s="4" t="s">
        <v>185</v>
      </c>
      <c r="B212" s="4" t="s">
        <v>69</v>
      </c>
      <c r="C212" s="5" t="s">
        <v>70</v>
      </c>
      <c r="D212" s="151">
        <v>1683</v>
      </c>
      <c r="E212" s="153">
        <v>6095</v>
      </c>
      <c r="F212" s="151"/>
      <c r="G212" s="153"/>
      <c r="H212" s="151"/>
      <c r="I212" s="153"/>
      <c r="J212" s="151"/>
      <c r="K212" s="153"/>
      <c r="L212" s="151"/>
      <c r="M212" s="153"/>
      <c r="N212" s="151"/>
      <c r="O212" s="153"/>
      <c r="P212" s="151"/>
      <c r="Q212" s="153"/>
      <c r="R212" s="151">
        <v>65</v>
      </c>
      <c r="S212" s="153">
        <v>65</v>
      </c>
      <c r="T212" s="151"/>
      <c r="U212" s="153"/>
      <c r="V212" s="151"/>
      <c r="W212" s="153"/>
      <c r="X212" s="151"/>
      <c r="Y212" s="153"/>
      <c r="Z212" s="61">
        <f t="shared" si="34"/>
        <v>1748</v>
      </c>
      <c r="AA212" s="75">
        <f t="shared" si="35"/>
        <v>6160</v>
      </c>
      <c r="AB212" s="151"/>
      <c r="AC212" s="153"/>
      <c r="AD212" s="151">
        <v>300</v>
      </c>
      <c r="AE212" s="153">
        <v>300</v>
      </c>
      <c r="AF212" s="151">
        <v>989</v>
      </c>
      <c r="AG212" s="153">
        <v>980</v>
      </c>
      <c r="AH212" s="151"/>
      <c r="AI212" s="153"/>
      <c r="AJ212" s="151"/>
      <c r="AK212" s="153"/>
      <c r="AL212" s="151"/>
      <c r="AM212" s="153"/>
      <c r="AN212" s="151"/>
      <c r="AO212" s="153"/>
      <c r="AP212" s="61">
        <f t="shared" si="36"/>
        <v>3037</v>
      </c>
      <c r="AQ212" s="75">
        <f t="shared" si="37"/>
        <v>7440</v>
      </c>
      <c r="AR212" s="150" t="s">
        <v>71</v>
      </c>
    </row>
    <row r="213" spans="1:44" x14ac:dyDescent="0.25">
      <c r="A213" s="4" t="s">
        <v>185</v>
      </c>
      <c r="B213" s="4" t="s">
        <v>77</v>
      </c>
      <c r="C213" s="5" t="s">
        <v>73</v>
      </c>
      <c r="D213" s="151">
        <v>23974</v>
      </c>
      <c r="E213" s="153">
        <v>24115</v>
      </c>
      <c r="F213" s="151">
        <v>520</v>
      </c>
      <c r="G213" s="153">
        <v>1150</v>
      </c>
      <c r="H213" s="151"/>
      <c r="I213" s="153"/>
      <c r="J213" s="151">
        <v>330</v>
      </c>
      <c r="K213" s="153">
        <v>330</v>
      </c>
      <c r="L213" s="151">
        <v>3300</v>
      </c>
      <c r="M213" s="153">
        <v>3300</v>
      </c>
      <c r="N213" s="151">
        <v>480</v>
      </c>
      <c r="O213" s="153">
        <v>460</v>
      </c>
      <c r="P213" s="151">
        <v>5400</v>
      </c>
      <c r="Q213" s="153">
        <v>5400</v>
      </c>
      <c r="R213" s="151">
        <v>1250</v>
      </c>
      <c r="S213" s="153">
        <v>1200</v>
      </c>
      <c r="T213" s="151"/>
      <c r="U213" s="153"/>
      <c r="V213" s="151"/>
      <c r="W213" s="153"/>
      <c r="X213" s="151"/>
      <c r="Y213" s="153"/>
      <c r="Z213" s="61">
        <f t="shared" si="34"/>
        <v>35254</v>
      </c>
      <c r="AA213" s="75">
        <f t="shared" si="35"/>
        <v>35955</v>
      </c>
      <c r="AB213" s="151">
        <v>25</v>
      </c>
      <c r="AC213" s="153"/>
      <c r="AD213" s="151">
        <v>7800</v>
      </c>
      <c r="AE213" s="153">
        <v>7600</v>
      </c>
      <c r="AF213" s="151">
        <v>3300</v>
      </c>
      <c r="AG213" s="153">
        <v>3250</v>
      </c>
      <c r="AH213" s="151"/>
      <c r="AI213" s="153"/>
      <c r="AJ213" s="151"/>
      <c r="AK213" s="153"/>
      <c r="AL213" s="151"/>
      <c r="AM213" s="153"/>
      <c r="AN213" s="151"/>
      <c r="AO213" s="153"/>
      <c r="AP213" s="61">
        <f t="shared" si="36"/>
        <v>46379</v>
      </c>
      <c r="AQ213" s="75">
        <f t="shared" si="37"/>
        <v>46805</v>
      </c>
      <c r="AR213" s="150" t="s">
        <v>74</v>
      </c>
    </row>
    <row r="214" spans="1:44" x14ac:dyDescent="0.25">
      <c r="A214" s="4" t="s">
        <v>185</v>
      </c>
      <c r="B214" s="4" t="s">
        <v>97</v>
      </c>
      <c r="C214" s="5" t="s">
        <v>96</v>
      </c>
      <c r="D214" s="151"/>
      <c r="E214" s="153"/>
      <c r="F214" s="151"/>
      <c r="G214" s="153"/>
      <c r="H214" s="151"/>
      <c r="I214" s="153"/>
      <c r="J214" s="151"/>
      <c r="K214" s="153"/>
      <c r="L214" s="151"/>
      <c r="M214" s="153"/>
      <c r="N214" s="151"/>
      <c r="O214" s="153"/>
      <c r="P214" s="151"/>
      <c r="Q214" s="153"/>
      <c r="R214" s="151">
        <v>4350</v>
      </c>
      <c r="S214" s="153">
        <v>3850</v>
      </c>
      <c r="T214" s="151"/>
      <c r="U214" s="153"/>
      <c r="V214" s="151">
        <v>45650</v>
      </c>
      <c r="W214" s="153">
        <v>44000</v>
      </c>
      <c r="X214" s="151"/>
      <c r="Y214" s="153"/>
      <c r="Z214" s="61">
        <f t="shared" si="34"/>
        <v>50000</v>
      </c>
      <c r="AA214" s="75">
        <f t="shared" si="35"/>
        <v>47850</v>
      </c>
      <c r="AB214" s="151"/>
      <c r="AC214" s="153"/>
      <c r="AD214" s="151"/>
      <c r="AE214" s="153"/>
      <c r="AF214" s="151"/>
      <c r="AG214" s="153"/>
      <c r="AH214" s="151"/>
      <c r="AI214" s="153"/>
      <c r="AJ214" s="151"/>
      <c r="AK214" s="153"/>
      <c r="AL214" s="151"/>
      <c r="AM214" s="153"/>
      <c r="AN214" s="151"/>
      <c r="AO214" s="153"/>
      <c r="AP214" s="61">
        <f t="shared" si="36"/>
        <v>50000</v>
      </c>
      <c r="AQ214" s="75">
        <f t="shared" si="37"/>
        <v>47850</v>
      </c>
      <c r="AR214" s="150" t="s">
        <v>128</v>
      </c>
    </row>
    <row r="215" spans="1:44" x14ac:dyDescent="0.25">
      <c r="A215" s="4" t="s">
        <v>185</v>
      </c>
      <c r="B215" s="4" t="s">
        <v>116</v>
      </c>
      <c r="C215" s="6" t="s">
        <v>96</v>
      </c>
      <c r="D215" s="151">
        <v>42409</v>
      </c>
      <c r="E215" s="153">
        <v>45516</v>
      </c>
      <c r="F215" s="151"/>
      <c r="G215" s="153"/>
      <c r="H215" s="151"/>
      <c r="I215" s="153"/>
      <c r="J215" s="151"/>
      <c r="K215" s="153"/>
      <c r="L215" s="151"/>
      <c r="M215" s="153"/>
      <c r="N215" s="151"/>
      <c r="O215" s="153"/>
      <c r="P215" s="151"/>
      <c r="Q215" s="153"/>
      <c r="R215" s="151"/>
      <c r="S215" s="153"/>
      <c r="T215" s="151"/>
      <c r="U215" s="153"/>
      <c r="V215" s="151"/>
      <c r="W215" s="153"/>
      <c r="X215" s="151"/>
      <c r="Y215" s="153"/>
      <c r="Z215" s="61">
        <f t="shared" si="34"/>
        <v>42409</v>
      </c>
      <c r="AA215" s="75">
        <f t="shared" si="35"/>
        <v>45516</v>
      </c>
      <c r="AB215" s="151"/>
      <c r="AC215" s="153"/>
      <c r="AD215" s="151"/>
      <c r="AE215" s="153"/>
      <c r="AF215" s="151"/>
      <c r="AG215" s="153"/>
      <c r="AH215" s="151"/>
      <c r="AI215" s="153"/>
      <c r="AJ215" s="151"/>
      <c r="AK215" s="153"/>
      <c r="AL215" s="151"/>
      <c r="AM215" s="153"/>
      <c r="AN215" s="151"/>
      <c r="AO215" s="153"/>
      <c r="AP215" s="61">
        <f t="shared" si="36"/>
        <v>42409</v>
      </c>
      <c r="AQ215" s="75">
        <f t="shared" si="37"/>
        <v>45516</v>
      </c>
      <c r="AR215" s="150" t="s">
        <v>167</v>
      </c>
    </row>
    <row r="216" spans="1:44" ht="26.25" x14ac:dyDescent="0.25">
      <c r="A216" s="4" t="s">
        <v>185</v>
      </c>
      <c r="B216" s="4" t="s">
        <v>194</v>
      </c>
      <c r="C216" s="6" t="s">
        <v>96</v>
      </c>
      <c r="D216" s="151">
        <v>3000</v>
      </c>
      <c r="E216" s="153">
        <v>2000</v>
      </c>
      <c r="F216" s="151"/>
      <c r="G216" s="153"/>
      <c r="H216" s="151"/>
      <c r="I216" s="153"/>
      <c r="J216" s="151"/>
      <c r="K216" s="153"/>
      <c r="L216" s="151"/>
      <c r="M216" s="153"/>
      <c r="N216" s="151"/>
      <c r="O216" s="153"/>
      <c r="P216" s="151"/>
      <c r="Q216" s="153"/>
      <c r="R216" s="151"/>
      <c r="S216" s="153"/>
      <c r="T216" s="151"/>
      <c r="U216" s="153"/>
      <c r="V216" s="151"/>
      <c r="W216" s="153"/>
      <c r="X216" s="151"/>
      <c r="Y216" s="153"/>
      <c r="Z216" s="61">
        <f t="shared" si="34"/>
        <v>3000</v>
      </c>
      <c r="AA216" s="75">
        <f t="shared" si="35"/>
        <v>2000</v>
      </c>
      <c r="AB216" s="151"/>
      <c r="AC216" s="153"/>
      <c r="AD216" s="151"/>
      <c r="AE216" s="153"/>
      <c r="AF216" s="151"/>
      <c r="AG216" s="153"/>
      <c r="AH216" s="151"/>
      <c r="AI216" s="153"/>
      <c r="AJ216" s="151"/>
      <c r="AK216" s="153"/>
      <c r="AL216" s="151"/>
      <c r="AM216" s="153"/>
      <c r="AN216" s="151"/>
      <c r="AO216" s="153"/>
      <c r="AP216" s="61">
        <f t="shared" si="36"/>
        <v>3000</v>
      </c>
      <c r="AQ216" s="75">
        <f t="shared" si="37"/>
        <v>2000</v>
      </c>
      <c r="AR216" s="150" t="s">
        <v>167</v>
      </c>
    </row>
    <row r="217" spans="1:44" ht="26.25" x14ac:dyDescent="0.25">
      <c r="A217" s="4" t="s">
        <v>185</v>
      </c>
      <c r="B217" s="4" t="s">
        <v>195</v>
      </c>
      <c r="C217" s="5" t="s">
        <v>73</v>
      </c>
      <c r="D217" s="151"/>
      <c r="E217" s="153"/>
      <c r="F217" s="151"/>
      <c r="G217" s="153"/>
      <c r="H217" s="151"/>
      <c r="I217" s="153"/>
      <c r="J217" s="151"/>
      <c r="K217" s="153"/>
      <c r="L217" s="151"/>
      <c r="M217" s="153"/>
      <c r="N217" s="151"/>
      <c r="O217" s="153"/>
      <c r="P217" s="151"/>
      <c r="Q217" s="153"/>
      <c r="R217" s="151">
        <v>450</v>
      </c>
      <c r="S217" s="153">
        <v>290</v>
      </c>
      <c r="T217" s="151"/>
      <c r="U217" s="153"/>
      <c r="V217" s="151"/>
      <c r="W217" s="153"/>
      <c r="X217" s="151"/>
      <c r="Y217" s="153"/>
      <c r="Z217" s="61">
        <f t="shared" si="34"/>
        <v>450</v>
      </c>
      <c r="AA217" s="75">
        <f t="shared" si="35"/>
        <v>290</v>
      </c>
      <c r="AB217" s="151"/>
      <c r="AC217" s="153"/>
      <c r="AD217" s="151">
        <v>3000</v>
      </c>
      <c r="AE217" s="153">
        <v>6695</v>
      </c>
      <c r="AF217" s="151">
        <v>200</v>
      </c>
      <c r="AG217" s="153">
        <v>155</v>
      </c>
      <c r="AH217" s="151"/>
      <c r="AI217" s="153"/>
      <c r="AJ217" s="151"/>
      <c r="AK217" s="153"/>
      <c r="AL217" s="151"/>
      <c r="AM217" s="153"/>
      <c r="AN217" s="151"/>
      <c r="AO217" s="153"/>
      <c r="AP217" s="61">
        <f t="shared" si="36"/>
        <v>3650</v>
      </c>
      <c r="AQ217" s="75">
        <f t="shared" si="37"/>
        <v>7140</v>
      </c>
      <c r="AR217" s="150" t="s">
        <v>74</v>
      </c>
    </row>
    <row r="218" spans="1:44" x14ac:dyDescent="0.25">
      <c r="A218" s="4" t="s">
        <v>185</v>
      </c>
      <c r="B218" s="4" t="s">
        <v>91</v>
      </c>
      <c r="C218" s="5" t="s">
        <v>86</v>
      </c>
      <c r="D218" s="151">
        <v>191120</v>
      </c>
      <c r="E218" s="153">
        <v>192688</v>
      </c>
      <c r="F218" s="151"/>
      <c r="G218" s="153"/>
      <c r="H218" s="151"/>
      <c r="I218" s="153"/>
      <c r="J218" s="151"/>
      <c r="K218" s="153"/>
      <c r="L218" s="151"/>
      <c r="M218" s="153"/>
      <c r="N218" s="151"/>
      <c r="O218" s="153"/>
      <c r="P218" s="151"/>
      <c r="Q218" s="153"/>
      <c r="R218" s="151"/>
      <c r="S218" s="153"/>
      <c r="T218" s="151"/>
      <c r="U218" s="153"/>
      <c r="V218" s="151"/>
      <c r="W218" s="153"/>
      <c r="X218" s="151"/>
      <c r="Y218" s="153"/>
      <c r="Z218" s="61">
        <f t="shared" si="34"/>
        <v>191120</v>
      </c>
      <c r="AA218" s="75">
        <f t="shared" si="35"/>
        <v>192688</v>
      </c>
      <c r="AB218" s="151"/>
      <c r="AC218" s="153"/>
      <c r="AD218" s="151"/>
      <c r="AE218" s="153"/>
      <c r="AF218" s="151"/>
      <c r="AG218" s="153"/>
      <c r="AH218" s="151"/>
      <c r="AI218" s="153"/>
      <c r="AJ218" s="151"/>
      <c r="AK218" s="153"/>
      <c r="AL218" s="151"/>
      <c r="AM218" s="153"/>
      <c r="AN218" s="151"/>
      <c r="AO218" s="153"/>
      <c r="AP218" s="61">
        <f t="shared" si="36"/>
        <v>191120</v>
      </c>
      <c r="AQ218" s="75">
        <f t="shared" si="37"/>
        <v>192688</v>
      </c>
      <c r="AR218" s="150" t="s">
        <v>128</v>
      </c>
    </row>
    <row r="219" spans="1:44" ht="26.25" x14ac:dyDescent="0.25">
      <c r="A219" s="4" t="s">
        <v>185</v>
      </c>
      <c r="B219" s="4" t="s">
        <v>92</v>
      </c>
      <c r="C219" s="5" t="s">
        <v>93</v>
      </c>
      <c r="D219" s="151">
        <v>8152</v>
      </c>
      <c r="E219" s="153">
        <v>6997</v>
      </c>
      <c r="F219" s="151"/>
      <c r="G219" s="153"/>
      <c r="H219" s="151"/>
      <c r="I219" s="153"/>
      <c r="J219" s="151"/>
      <c r="K219" s="153"/>
      <c r="L219" s="151"/>
      <c r="M219" s="153"/>
      <c r="N219" s="151"/>
      <c r="O219" s="153"/>
      <c r="P219" s="151"/>
      <c r="Q219" s="153"/>
      <c r="R219" s="151"/>
      <c r="S219" s="153"/>
      <c r="T219" s="151"/>
      <c r="U219" s="153"/>
      <c r="V219" s="151"/>
      <c r="W219" s="153"/>
      <c r="X219" s="151"/>
      <c r="Y219" s="153"/>
      <c r="Z219" s="61">
        <f t="shared" si="34"/>
        <v>8152</v>
      </c>
      <c r="AA219" s="75">
        <f t="shared" si="35"/>
        <v>6997</v>
      </c>
      <c r="AB219" s="151"/>
      <c r="AC219" s="153"/>
      <c r="AD219" s="151"/>
      <c r="AE219" s="153"/>
      <c r="AF219" s="151"/>
      <c r="AG219" s="153"/>
      <c r="AH219" s="151"/>
      <c r="AI219" s="153"/>
      <c r="AJ219" s="151"/>
      <c r="AK219" s="153"/>
      <c r="AL219" s="151"/>
      <c r="AM219" s="153"/>
      <c r="AN219" s="151"/>
      <c r="AO219" s="153"/>
      <c r="AP219" s="61">
        <f t="shared" si="36"/>
        <v>8152</v>
      </c>
      <c r="AQ219" s="75">
        <f t="shared" si="37"/>
        <v>6997</v>
      </c>
      <c r="AR219" s="150" t="s">
        <v>128</v>
      </c>
    </row>
    <row r="220" spans="1:44" ht="26.25" x14ac:dyDescent="0.25">
      <c r="A220" s="4" t="s">
        <v>185</v>
      </c>
      <c r="B220" s="4" t="s">
        <v>196</v>
      </c>
      <c r="C220" s="5" t="s">
        <v>93</v>
      </c>
      <c r="D220" s="151">
        <v>512</v>
      </c>
      <c r="E220" s="153">
        <v>1047</v>
      </c>
      <c r="F220" s="151"/>
      <c r="G220" s="153"/>
      <c r="H220" s="151"/>
      <c r="I220" s="153"/>
      <c r="J220" s="151"/>
      <c r="K220" s="153"/>
      <c r="L220" s="151"/>
      <c r="M220" s="153"/>
      <c r="N220" s="151"/>
      <c r="O220" s="153"/>
      <c r="P220" s="151"/>
      <c r="Q220" s="153"/>
      <c r="R220" s="151"/>
      <c r="S220" s="153"/>
      <c r="T220" s="151"/>
      <c r="U220" s="153"/>
      <c r="V220" s="151"/>
      <c r="W220" s="153"/>
      <c r="X220" s="151"/>
      <c r="Y220" s="153"/>
      <c r="Z220" s="61">
        <f t="shared" si="34"/>
        <v>512</v>
      </c>
      <c r="AA220" s="75">
        <f t="shared" si="35"/>
        <v>1047</v>
      </c>
      <c r="AB220" s="151"/>
      <c r="AC220" s="153"/>
      <c r="AD220" s="151"/>
      <c r="AE220" s="153"/>
      <c r="AF220" s="151"/>
      <c r="AG220" s="153"/>
      <c r="AH220" s="151"/>
      <c r="AI220" s="153"/>
      <c r="AJ220" s="151"/>
      <c r="AK220" s="153"/>
      <c r="AL220" s="151"/>
      <c r="AM220" s="153"/>
      <c r="AN220" s="151"/>
      <c r="AO220" s="153"/>
      <c r="AP220" s="61">
        <f t="shared" si="36"/>
        <v>512</v>
      </c>
      <c r="AQ220" s="75">
        <f t="shared" si="37"/>
        <v>1047</v>
      </c>
      <c r="AR220" s="150" t="s">
        <v>128</v>
      </c>
    </row>
    <row r="221" spans="1:44" ht="26.25" x14ac:dyDescent="0.25">
      <c r="A221" s="4" t="s">
        <v>185</v>
      </c>
      <c r="B221" s="4" t="s">
        <v>84</v>
      </c>
      <c r="C221" s="5" t="s">
        <v>82</v>
      </c>
      <c r="D221" s="151">
        <v>24392</v>
      </c>
      <c r="E221" s="153">
        <v>26400</v>
      </c>
      <c r="F221" s="151"/>
      <c r="G221" s="153"/>
      <c r="H221" s="151"/>
      <c r="I221" s="153"/>
      <c r="J221" s="151"/>
      <c r="K221" s="153"/>
      <c r="L221" s="151"/>
      <c r="M221" s="153"/>
      <c r="N221" s="151"/>
      <c r="O221" s="153"/>
      <c r="P221" s="151"/>
      <c r="Q221" s="153"/>
      <c r="R221" s="151"/>
      <c r="S221" s="153"/>
      <c r="T221" s="151"/>
      <c r="U221" s="153"/>
      <c r="V221" s="151"/>
      <c r="W221" s="153"/>
      <c r="X221" s="151"/>
      <c r="Y221" s="153"/>
      <c r="Z221" s="61">
        <f t="shared" si="34"/>
        <v>24392</v>
      </c>
      <c r="AA221" s="75">
        <f t="shared" si="35"/>
        <v>26400</v>
      </c>
      <c r="AB221" s="151"/>
      <c r="AC221" s="153"/>
      <c r="AD221" s="151"/>
      <c r="AE221" s="153"/>
      <c r="AF221" s="151"/>
      <c r="AG221" s="153"/>
      <c r="AH221" s="151"/>
      <c r="AI221" s="153"/>
      <c r="AJ221" s="151"/>
      <c r="AK221" s="153"/>
      <c r="AL221" s="151"/>
      <c r="AM221" s="153"/>
      <c r="AN221" s="151"/>
      <c r="AO221" s="153"/>
      <c r="AP221" s="61">
        <f t="shared" si="36"/>
        <v>24392</v>
      </c>
      <c r="AQ221" s="75">
        <f t="shared" si="37"/>
        <v>26400</v>
      </c>
      <c r="AR221" s="150" t="s">
        <v>128</v>
      </c>
    </row>
    <row r="222" spans="1:44" ht="30" x14ac:dyDescent="0.25">
      <c r="A222" s="4" t="s">
        <v>185</v>
      </c>
      <c r="B222" s="4" t="s">
        <v>100</v>
      </c>
      <c r="C222" s="5" t="s">
        <v>101</v>
      </c>
      <c r="D222" s="151"/>
      <c r="E222" s="153"/>
      <c r="F222" s="151"/>
      <c r="G222" s="153"/>
      <c r="H222" s="151"/>
      <c r="I222" s="153"/>
      <c r="J222" s="151"/>
      <c r="K222" s="153"/>
      <c r="L222" s="151"/>
      <c r="M222" s="153"/>
      <c r="N222" s="151"/>
      <c r="O222" s="153"/>
      <c r="P222" s="151"/>
      <c r="Q222" s="153"/>
      <c r="R222" s="151"/>
      <c r="S222" s="153"/>
      <c r="T222" s="151"/>
      <c r="U222" s="153"/>
      <c r="V222" s="151"/>
      <c r="W222" s="153"/>
      <c r="X222" s="151"/>
      <c r="Y222" s="153"/>
      <c r="Z222" s="61">
        <f t="shared" si="34"/>
        <v>0</v>
      </c>
      <c r="AA222" s="75">
        <f t="shared" si="35"/>
        <v>0</v>
      </c>
      <c r="AB222" s="151"/>
      <c r="AC222" s="153"/>
      <c r="AD222" s="151"/>
      <c r="AE222" s="153"/>
      <c r="AF222" s="151"/>
      <c r="AG222" s="153"/>
      <c r="AH222" s="151"/>
      <c r="AI222" s="153"/>
      <c r="AJ222" s="151"/>
      <c r="AK222" s="153"/>
      <c r="AL222" s="151">
        <v>10264</v>
      </c>
      <c r="AM222" s="153">
        <v>10264</v>
      </c>
      <c r="AN222" s="151"/>
      <c r="AO222" s="153"/>
      <c r="AP222" s="61">
        <f t="shared" si="36"/>
        <v>10264</v>
      </c>
      <c r="AQ222" s="75">
        <f t="shared" si="37"/>
        <v>10264</v>
      </c>
      <c r="AR222" s="150" t="s">
        <v>102</v>
      </c>
    </row>
    <row r="223" spans="1:44" x14ac:dyDescent="0.25">
      <c r="A223" s="4" t="s">
        <v>185</v>
      </c>
      <c r="B223" s="4" t="s">
        <v>105</v>
      </c>
      <c r="C223" s="5"/>
      <c r="D223" s="151">
        <v>10605</v>
      </c>
      <c r="E223" s="153">
        <v>12016</v>
      </c>
      <c r="F223" s="151"/>
      <c r="G223" s="153"/>
      <c r="H223" s="151"/>
      <c r="I223" s="153"/>
      <c r="J223" s="151"/>
      <c r="K223" s="153"/>
      <c r="L223" s="151"/>
      <c r="M223" s="153"/>
      <c r="N223" s="151"/>
      <c r="O223" s="153"/>
      <c r="P223" s="151"/>
      <c r="Q223" s="153"/>
      <c r="R223" s="151"/>
      <c r="S223" s="153"/>
      <c r="T223" s="151"/>
      <c r="U223" s="153"/>
      <c r="V223" s="151"/>
      <c r="W223" s="153"/>
      <c r="X223" s="151"/>
      <c r="Y223" s="153"/>
      <c r="Z223" s="61">
        <f t="shared" si="34"/>
        <v>10605</v>
      </c>
      <c r="AA223" s="75">
        <f t="shared" si="35"/>
        <v>12016</v>
      </c>
      <c r="AB223" s="151"/>
      <c r="AC223" s="153"/>
      <c r="AD223" s="151"/>
      <c r="AE223" s="153"/>
      <c r="AF223" s="151"/>
      <c r="AG223" s="153"/>
      <c r="AH223" s="151"/>
      <c r="AI223" s="153"/>
      <c r="AJ223" s="151"/>
      <c r="AK223" s="153"/>
      <c r="AL223" s="151"/>
      <c r="AM223" s="153"/>
      <c r="AN223" s="151"/>
      <c r="AO223" s="153"/>
      <c r="AP223" s="61">
        <f t="shared" si="36"/>
        <v>10605</v>
      </c>
      <c r="AQ223" s="75">
        <f t="shared" si="37"/>
        <v>12016</v>
      </c>
      <c r="AR223" s="150" t="s">
        <v>58</v>
      </c>
    </row>
    <row r="224" spans="1:44" x14ac:dyDescent="0.25">
      <c r="A224" s="4" t="s">
        <v>185</v>
      </c>
      <c r="B224" s="4" t="s">
        <v>106</v>
      </c>
      <c r="C224" s="5"/>
      <c r="D224" s="151">
        <v>9817</v>
      </c>
      <c r="E224" s="153">
        <v>11145</v>
      </c>
      <c r="F224" s="151"/>
      <c r="G224" s="153"/>
      <c r="H224" s="151"/>
      <c r="I224" s="153"/>
      <c r="J224" s="151"/>
      <c r="K224" s="153"/>
      <c r="L224" s="151"/>
      <c r="M224" s="153"/>
      <c r="N224" s="151"/>
      <c r="O224" s="153"/>
      <c r="P224" s="151"/>
      <c r="Q224" s="153"/>
      <c r="R224" s="151"/>
      <c r="S224" s="153"/>
      <c r="T224" s="151"/>
      <c r="U224" s="153"/>
      <c r="V224" s="151"/>
      <c r="W224" s="153"/>
      <c r="X224" s="151"/>
      <c r="Y224" s="153"/>
      <c r="Z224" s="61">
        <f t="shared" si="34"/>
        <v>9817</v>
      </c>
      <c r="AA224" s="75">
        <f t="shared" si="35"/>
        <v>11145</v>
      </c>
      <c r="AB224" s="151"/>
      <c r="AC224" s="153"/>
      <c r="AD224" s="151"/>
      <c r="AE224" s="153"/>
      <c r="AF224" s="151"/>
      <c r="AG224" s="153"/>
      <c r="AH224" s="151"/>
      <c r="AI224" s="153"/>
      <c r="AJ224" s="151"/>
      <c r="AK224" s="153"/>
      <c r="AL224" s="151"/>
      <c r="AM224" s="153"/>
      <c r="AN224" s="151"/>
      <c r="AO224" s="153"/>
      <c r="AP224" s="61">
        <f t="shared" si="36"/>
        <v>9817</v>
      </c>
      <c r="AQ224" s="75">
        <f t="shared" si="37"/>
        <v>11145</v>
      </c>
      <c r="AR224" s="150" t="s">
        <v>58</v>
      </c>
    </row>
    <row r="225" spans="1:44" ht="30" x14ac:dyDescent="0.25">
      <c r="A225" s="4" t="s">
        <v>185</v>
      </c>
      <c r="B225" s="4" t="s">
        <v>183</v>
      </c>
      <c r="C225" s="5" t="s">
        <v>104</v>
      </c>
      <c r="D225" s="151"/>
      <c r="E225" s="153"/>
      <c r="F225" s="151"/>
      <c r="G225" s="153"/>
      <c r="H225" s="151"/>
      <c r="I225" s="153"/>
      <c r="J225" s="151"/>
      <c r="K225" s="153"/>
      <c r="L225" s="151"/>
      <c r="M225" s="153"/>
      <c r="N225" s="151"/>
      <c r="O225" s="153"/>
      <c r="P225" s="151"/>
      <c r="Q225" s="153"/>
      <c r="R225" s="151">
        <v>180</v>
      </c>
      <c r="S225" s="153">
        <v>180</v>
      </c>
      <c r="T225" s="151"/>
      <c r="U225" s="153"/>
      <c r="V225" s="151"/>
      <c r="W225" s="153"/>
      <c r="X225" s="151"/>
      <c r="Y225" s="153"/>
      <c r="Z225" s="61">
        <f t="shared" si="34"/>
        <v>180</v>
      </c>
      <c r="AA225" s="75">
        <f t="shared" si="35"/>
        <v>180</v>
      </c>
      <c r="AB225" s="151"/>
      <c r="AC225" s="153"/>
      <c r="AD225" s="151"/>
      <c r="AE225" s="153"/>
      <c r="AF225" s="151"/>
      <c r="AG225" s="153"/>
      <c r="AH225" s="151"/>
      <c r="AI225" s="153"/>
      <c r="AJ225" s="151"/>
      <c r="AK225" s="153"/>
      <c r="AL225" s="151"/>
      <c r="AM225" s="153"/>
      <c r="AN225" s="151"/>
      <c r="AO225" s="153"/>
      <c r="AP225" s="61">
        <f t="shared" si="36"/>
        <v>180</v>
      </c>
      <c r="AQ225" s="75">
        <f t="shared" si="37"/>
        <v>180</v>
      </c>
      <c r="AR225" s="150" t="s">
        <v>102</v>
      </c>
    </row>
    <row r="226" spans="1:44" x14ac:dyDescent="0.25">
      <c r="A226" s="4" t="s">
        <v>185</v>
      </c>
      <c r="B226" s="4" t="s">
        <v>90</v>
      </c>
      <c r="C226" s="5" t="s">
        <v>86</v>
      </c>
      <c r="D226" s="151"/>
      <c r="E226" s="153"/>
      <c r="F226" s="151"/>
      <c r="G226" s="153"/>
      <c r="H226" s="151"/>
      <c r="I226" s="153"/>
      <c r="J226" s="151"/>
      <c r="K226" s="153"/>
      <c r="L226" s="151"/>
      <c r="M226" s="153"/>
      <c r="N226" s="151"/>
      <c r="O226" s="153"/>
      <c r="P226" s="151"/>
      <c r="Q226" s="153"/>
      <c r="R226" s="151"/>
      <c r="S226" s="153"/>
      <c r="T226" s="151">
        <v>2400</v>
      </c>
      <c r="U226" s="153">
        <v>2300</v>
      </c>
      <c r="V226" s="151"/>
      <c r="W226" s="153"/>
      <c r="X226" s="151"/>
      <c r="Y226" s="153"/>
      <c r="Z226" s="61">
        <f t="shared" si="34"/>
        <v>2400</v>
      </c>
      <c r="AA226" s="75">
        <f t="shared" si="35"/>
        <v>2300</v>
      </c>
      <c r="AB226" s="151"/>
      <c r="AC226" s="153"/>
      <c r="AD226" s="151"/>
      <c r="AE226" s="153"/>
      <c r="AF226" s="151"/>
      <c r="AG226" s="153"/>
      <c r="AH226" s="151"/>
      <c r="AI226" s="153"/>
      <c r="AJ226" s="151"/>
      <c r="AK226" s="153"/>
      <c r="AL226" s="151"/>
      <c r="AM226" s="153"/>
      <c r="AN226" s="151"/>
      <c r="AO226" s="153"/>
      <c r="AP226" s="61">
        <f t="shared" si="36"/>
        <v>2400</v>
      </c>
      <c r="AQ226" s="75">
        <f t="shared" si="37"/>
        <v>2300</v>
      </c>
      <c r="AR226" s="150" t="s">
        <v>58</v>
      </c>
    </row>
    <row r="227" spans="1:44" x14ac:dyDescent="0.25">
      <c r="A227" s="4" t="s">
        <v>185</v>
      </c>
      <c r="B227" s="4" t="s">
        <v>197</v>
      </c>
      <c r="C227" s="5" t="s">
        <v>198</v>
      </c>
      <c r="D227" s="151"/>
      <c r="E227" s="153"/>
      <c r="F227" s="151"/>
      <c r="G227" s="153"/>
      <c r="H227" s="151"/>
      <c r="I227" s="153"/>
      <c r="J227" s="151"/>
      <c r="K227" s="153"/>
      <c r="L227" s="151"/>
      <c r="M227" s="153"/>
      <c r="N227" s="151"/>
      <c r="O227" s="153"/>
      <c r="P227" s="151"/>
      <c r="Q227" s="153"/>
      <c r="R227" s="151"/>
      <c r="S227" s="153"/>
      <c r="T227" s="151"/>
      <c r="U227" s="153"/>
      <c r="V227" s="151"/>
      <c r="W227" s="153"/>
      <c r="X227" s="151"/>
      <c r="Y227" s="153"/>
      <c r="Z227" s="61">
        <f t="shared" si="34"/>
        <v>0</v>
      </c>
      <c r="AA227" s="75">
        <f t="shared" si="35"/>
        <v>0</v>
      </c>
      <c r="AB227" s="151"/>
      <c r="AC227" s="153"/>
      <c r="AD227" s="151">
        <v>65</v>
      </c>
      <c r="AE227" s="153">
        <v>65</v>
      </c>
      <c r="AF227" s="151">
        <v>615</v>
      </c>
      <c r="AG227" s="153">
        <v>605</v>
      </c>
      <c r="AH227" s="151"/>
      <c r="AI227" s="153"/>
      <c r="AJ227" s="151"/>
      <c r="AK227" s="153"/>
      <c r="AL227" s="151"/>
      <c r="AM227" s="153"/>
      <c r="AN227" s="151"/>
      <c r="AO227" s="153"/>
      <c r="AP227" s="61">
        <f t="shared" si="36"/>
        <v>680</v>
      </c>
      <c r="AQ227" s="75">
        <f t="shared" si="37"/>
        <v>670</v>
      </c>
      <c r="AR227" s="150" t="s">
        <v>58</v>
      </c>
    </row>
    <row r="228" spans="1:44" ht="51.75" x14ac:dyDescent="0.25">
      <c r="A228" s="4" t="s">
        <v>185</v>
      </c>
      <c r="B228" s="4" t="s">
        <v>199</v>
      </c>
      <c r="C228" s="5" t="s">
        <v>60</v>
      </c>
      <c r="D228" s="151"/>
      <c r="E228" s="153"/>
      <c r="F228" s="151"/>
      <c r="G228" s="153"/>
      <c r="H228" s="151"/>
      <c r="I228" s="153"/>
      <c r="J228" s="151"/>
      <c r="K228" s="153"/>
      <c r="L228" s="151"/>
      <c r="M228" s="153"/>
      <c r="N228" s="151"/>
      <c r="O228" s="153"/>
      <c r="P228" s="151"/>
      <c r="Q228" s="153"/>
      <c r="R228" s="151"/>
      <c r="S228" s="153"/>
      <c r="T228" s="151"/>
      <c r="U228" s="153"/>
      <c r="V228" s="151"/>
      <c r="W228" s="153"/>
      <c r="X228" s="151"/>
      <c r="Y228" s="153"/>
      <c r="Z228" s="61">
        <f t="shared" si="34"/>
        <v>0</v>
      </c>
      <c r="AA228" s="75">
        <f t="shared" si="35"/>
        <v>0</v>
      </c>
      <c r="AB228" s="151"/>
      <c r="AC228" s="153"/>
      <c r="AD228" s="151">
        <v>4000</v>
      </c>
      <c r="AE228" s="153">
        <v>3950</v>
      </c>
      <c r="AF228" s="151"/>
      <c r="AG228" s="153"/>
      <c r="AH228" s="151"/>
      <c r="AI228" s="153"/>
      <c r="AJ228" s="151"/>
      <c r="AK228" s="153"/>
      <c r="AL228" s="151"/>
      <c r="AM228" s="153"/>
      <c r="AN228" s="151"/>
      <c r="AO228" s="153"/>
      <c r="AP228" s="61">
        <f t="shared" si="36"/>
        <v>4000</v>
      </c>
      <c r="AQ228" s="75">
        <f t="shared" si="37"/>
        <v>3950</v>
      </c>
      <c r="AR228" s="150" t="s">
        <v>61</v>
      </c>
    </row>
    <row r="229" spans="1:44" x14ac:dyDescent="0.25">
      <c r="A229" s="16" t="s">
        <v>200</v>
      </c>
      <c r="B229" s="16" t="s">
        <v>108</v>
      </c>
      <c r="C229" s="17"/>
      <c r="D229" s="18">
        <f t="shared" ref="D229:AQ229" si="38">SUM(D194:D228)</f>
        <v>768799</v>
      </c>
      <c r="E229" s="105">
        <f t="shared" si="38"/>
        <v>838407</v>
      </c>
      <c r="F229" s="18">
        <f t="shared" si="38"/>
        <v>4130</v>
      </c>
      <c r="G229" s="18">
        <f t="shared" si="38"/>
        <v>5093</v>
      </c>
      <c r="H229" s="18">
        <f t="shared" si="38"/>
        <v>30570</v>
      </c>
      <c r="I229" s="18">
        <f t="shared" si="38"/>
        <v>60927</v>
      </c>
      <c r="J229" s="18">
        <f t="shared" si="38"/>
        <v>8282</v>
      </c>
      <c r="K229" s="18">
        <f t="shared" si="38"/>
        <v>8985</v>
      </c>
      <c r="L229" s="18">
        <f t="shared" si="38"/>
        <v>30130</v>
      </c>
      <c r="M229" s="18">
        <f t="shared" si="38"/>
        <v>28110</v>
      </c>
      <c r="N229" s="18">
        <f t="shared" si="38"/>
        <v>5170</v>
      </c>
      <c r="O229" s="18">
        <f t="shared" si="38"/>
        <v>5585</v>
      </c>
      <c r="P229" s="18">
        <f t="shared" si="38"/>
        <v>29850</v>
      </c>
      <c r="Q229" s="18">
        <f t="shared" si="38"/>
        <v>5800</v>
      </c>
      <c r="R229" s="18">
        <f t="shared" si="38"/>
        <v>15410</v>
      </c>
      <c r="S229" s="18">
        <f t="shared" si="38"/>
        <v>14575</v>
      </c>
      <c r="T229" s="18">
        <f t="shared" si="38"/>
        <v>57906</v>
      </c>
      <c r="U229" s="18">
        <f t="shared" si="38"/>
        <v>57545</v>
      </c>
      <c r="V229" s="18">
        <f t="shared" si="38"/>
        <v>45650</v>
      </c>
      <c r="W229" s="18">
        <f t="shared" si="38"/>
        <v>44000</v>
      </c>
      <c r="X229" s="18">
        <f t="shared" si="38"/>
        <v>0</v>
      </c>
      <c r="Y229" s="18">
        <f t="shared" si="38"/>
        <v>0</v>
      </c>
      <c r="Z229" s="18">
        <f t="shared" si="38"/>
        <v>995897</v>
      </c>
      <c r="AA229" s="18">
        <f t="shared" si="38"/>
        <v>1069027</v>
      </c>
      <c r="AB229" s="18">
        <f t="shared" si="38"/>
        <v>260</v>
      </c>
      <c r="AC229" s="18">
        <f t="shared" si="38"/>
        <v>235</v>
      </c>
      <c r="AD229" s="18">
        <f t="shared" si="38"/>
        <v>92207</v>
      </c>
      <c r="AE229" s="18">
        <f t="shared" si="38"/>
        <v>103234</v>
      </c>
      <c r="AF229" s="18">
        <f t="shared" si="38"/>
        <v>72034</v>
      </c>
      <c r="AG229" s="18">
        <f t="shared" si="38"/>
        <v>61170</v>
      </c>
      <c r="AH229" s="18">
        <f t="shared" si="38"/>
        <v>2514</v>
      </c>
      <c r="AI229" s="18">
        <f t="shared" si="38"/>
        <v>2455</v>
      </c>
      <c r="AJ229" s="18">
        <f t="shared" si="38"/>
        <v>0</v>
      </c>
      <c r="AK229" s="18">
        <f t="shared" si="38"/>
        <v>0</v>
      </c>
      <c r="AL229" s="18">
        <f t="shared" si="38"/>
        <v>10264</v>
      </c>
      <c r="AM229" s="18">
        <f t="shared" si="38"/>
        <v>10264</v>
      </c>
      <c r="AN229" s="18">
        <f t="shared" si="38"/>
        <v>180</v>
      </c>
      <c r="AO229" s="18">
        <f t="shared" si="38"/>
        <v>0</v>
      </c>
      <c r="AP229" s="18">
        <f t="shared" si="38"/>
        <v>1173356</v>
      </c>
      <c r="AQ229" s="18">
        <f t="shared" si="38"/>
        <v>1246385</v>
      </c>
      <c r="AR229" s="150"/>
    </row>
    <row r="230" spans="1:44" x14ac:dyDescent="0.25">
      <c r="A230" s="4" t="s">
        <v>201</v>
      </c>
      <c r="B230" s="11" t="s">
        <v>56</v>
      </c>
      <c r="C230" s="5" t="s">
        <v>57</v>
      </c>
      <c r="D230" s="151">
        <v>53867</v>
      </c>
      <c r="E230" s="153">
        <v>49520</v>
      </c>
      <c r="F230" s="151">
        <v>1240</v>
      </c>
      <c r="G230" s="153">
        <v>1100</v>
      </c>
      <c r="H230" s="151"/>
      <c r="I230" s="153"/>
      <c r="J230" s="151">
        <v>150</v>
      </c>
      <c r="K230" s="153">
        <v>130</v>
      </c>
      <c r="L230" s="151">
        <v>6400</v>
      </c>
      <c r="M230" s="153">
        <v>6400</v>
      </c>
      <c r="N230" s="151">
        <v>150</v>
      </c>
      <c r="O230" s="153">
        <v>160</v>
      </c>
      <c r="P230" s="151"/>
      <c r="Q230" s="153"/>
      <c r="R230" s="151">
        <v>2600</v>
      </c>
      <c r="S230" s="153">
        <v>2600</v>
      </c>
      <c r="T230" s="151"/>
      <c r="U230" s="153"/>
      <c r="V230" s="151"/>
      <c r="W230" s="153"/>
      <c r="X230" s="151"/>
      <c r="Y230" s="153"/>
      <c r="Z230" s="61">
        <f t="shared" ref="Z230:Z260" si="39">D230+F230+H230+J230+L230+P230+R230+T230+V230+X230+N230</f>
        <v>64407</v>
      </c>
      <c r="AA230" s="75">
        <f t="shared" ref="AA230:AA260" si="40">E230+G230+I230+K230+M230+Q230+S230+U230+W230+Y230+O230</f>
        <v>59910</v>
      </c>
      <c r="AB230" s="151">
        <v>40</v>
      </c>
      <c r="AC230" s="153"/>
      <c r="AD230" s="151">
        <v>7575</v>
      </c>
      <c r="AE230" s="153">
        <v>4570</v>
      </c>
      <c r="AF230" s="151">
        <v>2530</v>
      </c>
      <c r="AG230" s="153">
        <v>1550</v>
      </c>
      <c r="AH230" s="151"/>
      <c r="AI230" s="153"/>
      <c r="AJ230" s="151"/>
      <c r="AK230" s="153"/>
      <c r="AL230" s="151"/>
      <c r="AM230" s="153"/>
      <c r="AN230" s="151"/>
      <c r="AO230" s="153"/>
      <c r="AP230" s="61">
        <f t="shared" ref="AP230:AP260" si="41">Z230+AB230+AD230+AF230+AH230+AJ230+AL230+AN230</f>
        <v>74552</v>
      </c>
      <c r="AQ230" s="75">
        <f t="shared" ref="AQ230:AQ260" si="42">AA230+AC230+AE230+AG230+AI230+AK230+AM230+AO230</f>
        <v>66030</v>
      </c>
      <c r="AR230" s="150" t="s">
        <v>58</v>
      </c>
    </row>
    <row r="231" spans="1:44" x14ac:dyDescent="0.25">
      <c r="A231" s="4" t="s">
        <v>201</v>
      </c>
      <c r="B231" s="11" t="s">
        <v>98</v>
      </c>
      <c r="C231" s="5" t="s">
        <v>99</v>
      </c>
      <c r="D231" s="151"/>
      <c r="E231" s="153"/>
      <c r="F231" s="151"/>
      <c r="G231" s="153"/>
      <c r="H231" s="151"/>
      <c r="I231" s="153"/>
      <c r="J231" s="151"/>
      <c r="K231" s="153"/>
      <c r="L231" s="151"/>
      <c r="M231" s="153"/>
      <c r="N231" s="151"/>
      <c r="O231" s="153"/>
      <c r="P231" s="151"/>
      <c r="Q231" s="153"/>
      <c r="R231" s="151">
        <v>550</v>
      </c>
      <c r="S231" s="153">
        <v>500</v>
      </c>
      <c r="T231" s="151"/>
      <c r="U231" s="153"/>
      <c r="V231" s="151"/>
      <c r="W231" s="153"/>
      <c r="X231" s="151"/>
      <c r="Y231" s="153"/>
      <c r="Z231" s="61">
        <f t="shared" si="39"/>
        <v>550</v>
      </c>
      <c r="AA231" s="75">
        <f t="shared" si="40"/>
        <v>500</v>
      </c>
      <c r="AB231" s="151"/>
      <c r="AC231" s="153"/>
      <c r="AD231" s="151">
        <v>30</v>
      </c>
      <c r="AE231" s="153"/>
      <c r="AF231" s="151">
        <v>120</v>
      </c>
      <c r="AG231" s="153">
        <v>100</v>
      </c>
      <c r="AH231" s="151"/>
      <c r="AI231" s="153"/>
      <c r="AJ231" s="151"/>
      <c r="AK231" s="153"/>
      <c r="AL231" s="151"/>
      <c r="AM231" s="153"/>
      <c r="AN231" s="151"/>
      <c r="AO231" s="153"/>
      <c r="AP231" s="61">
        <f t="shared" si="41"/>
        <v>700</v>
      </c>
      <c r="AQ231" s="75">
        <f t="shared" si="42"/>
        <v>600</v>
      </c>
      <c r="AR231" s="150" t="s">
        <v>58</v>
      </c>
    </row>
    <row r="232" spans="1:44" ht="26.25" x14ac:dyDescent="0.25">
      <c r="A232" s="11" t="s">
        <v>201</v>
      </c>
      <c r="B232" s="11" t="s">
        <v>65</v>
      </c>
      <c r="C232" s="5" t="s">
        <v>60</v>
      </c>
      <c r="D232" s="151">
        <v>108107</v>
      </c>
      <c r="E232" s="153">
        <v>120589</v>
      </c>
      <c r="F232" s="151">
        <v>180</v>
      </c>
      <c r="G232" s="153">
        <v>250</v>
      </c>
      <c r="H232" s="151"/>
      <c r="I232" s="153"/>
      <c r="J232" s="151">
        <v>50</v>
      </c>
      <c r="K232" s="153">
        <v>300</v>
      </c>
      <c r="L232" s="151">
        <v>800</v>
      </c>
      <c r="M232" s="153">
        <v>1500</v>
      </c>
      <c r="N232" s="151">
        <v>400</v>
      </c>
      <c r="O232" s="153">
        <v>500</v>
      </c>
      <c r="P232" s="151">
        <v>200</v>
      </c>
      <c r="Q232" s="153">
        <v>200</v>
      </c>
      <c r="R232" s="151">
        <v>6800</v>
      </c>
      <c r="S232" s="153">
        <v>6800</v>
      </c>
      <c r="T232" s="151"/>
      <c r="U232" s="153"/>
      <c r="V232" s="151"/>
      <c r="W232" s="153"/>
      <c r="X232" s="151"/>
      <c r="Y232" s="153"/>
      <c r="Z232" s="61">
        <f t="shared" si="39"/>
        <v>116537</v>
      </c>
      <c r="AA232" s="75">
        <f t="shared" si="40"/>
        <v>130139</v>
      </c>
      <c r="AB232" s="151">
        <v>40</v>
      </c>
      <c r="AC232" s="153"/>
      <c r="AD232" s="151">
        <v>10350</v>
      </c>
      <c r="AE232" s="153">
        <v>16280</v>
      </c>
      <c r="AF232" s="151">
        <v>9005</v>
      </c>
      <c r="AG232" s="153">
        <v>8805</v>
      </c>
      <c r="AH232" s="151"/>
      <c r="AI232" s="153"/>
      <c r="AJ232" s="151"/>
      <c r="AK232" s="153"/>
      <c r="AL232" s="151"/>
      <c r="AM232" s="153"/>
      <c r="AN232" s="151"/>
      <c r="AO232" s="153"/>
      <c r="AP232" s="61">
        <f t="shared" si="41"/>
        <v>135932</v>
      </c>
      <c r="AQ232" s="75">
        <f t="shared" si="42"/>
        <v>155224</v>
      </c>
      <c r="AR232" s="150" t="s">
        <v>167</v>
      </c>
    </row>
    <row r="233" spans="1:44" ht="26.25" x14ac:dyDescent="0.25">
      <c r="A233" s="11" t="s">
        <v>201</v>
      </c>
      <c r="B233" s="11" t="s">
        <v>62</v>
      </c>
      <c r="C233" s="5" t="s">
        <v>60</v>
      </c>
      <c r="D233" s="151"/>
      <c r="E233" s="153"/>
      <c r="F233" s="151"/>
      <c r="G233" s="153"/>
      <c r="H233" s="151"/>
      <c r="I233" s="153"/>
      <c r="J233" s="151"/>
      <c r="K233" s="153"/>
      <c r="L233" s="151"/>
      <c r="M233" s="153"/>
      <c r="N233" s="151"/>
      <c r="O233" s="153"/>
      <c r="P233" s="151"/>
      <c r="Q233" s="153"/>
      <c r="R233" s="151">
        <v>5500</v>
      </c>
      <c r="S233" s="153">
        <v>5500</v>
      </c>
      <c r="T233" s="151"/>
      <c r="U233" s="153"/>
      <c r="V233" s="151"/>
      <c r="W233" s="153"/>
      <c r="X233" s="151"/>
      <c r="Y233" s="153"/>
      <c r="Z233" s="61">
        <f t="shared" si="39"/>
        <v>5500</v>
      </c>
      <c r="AA233" s="75">
        <f t="shared" si="40"/>
        <v>5500</v>
      </c>
      <c r="AB233" s="151"/>
      <c r="AC233" s="153"/>
      <c r="AD233" s="151">
        <v>10094</v>
      </c>
      <c r="AE233" s="153">
        <f>19907-AG233-S233</f>
        <v>10407</v>
      </c>
      <c r="AF233" s="151">
        <v>4000</v>
      </c>
      <c r="AG233" s="153">
        <v>4000</v>
      </c>
      <c r="AH233" s="151"/>
      <c r="AI233" s="153"/>
      <c r="AJ233" s="151"/>
      <c r="AK233" s="153"/>
      <c r="AL233" s="151"/>
      <c r="AM233" s="153"/>
      <c r="AN233" s="151"/>
      <c r="AO233" s="153"/>
      <c r="AP233" s="61">
        <f t="shared" si="41"/>
        <v>19594</v>
      </c>
      <c r="AQ233" s="75">
        <f t="shared" si="42"/>
        <v>19907</v>
      </c>
      <c r="AR233" s="150" t="s">
        <v>171</v>
      </c>
    </row>
    <row r="234" spans="1:44" x14ac:dyDescent="0.25">
      <c r="A234" s="11" t="s">
        <v>201</v>
      </c>
      <c r="B234" s="11" t="s">
        <v>64</v>
      </c>
      <c r="C234" s="5" t="s">
        <v>60</v>
      </c>
      <c r="D234" s="151"/>
      <c r="E234" s="153"/>
      <c r="F234" s="151"/>
      <c r="G234" s="153"/>
      <c r="H234" s="151"/>
      <c r="I234" s="153"/>
      <c r="J234" s="151"/>
      <c r="K234" s="153"/>
      <c r="L234" s="151"/>
      <c r="M234" s="153"/>
      <c r="N234" s="151"/>
      <c r="O234" s="153"/>
      <c r="P234" s="151"/>
      <c r="Q234" s="153"/>
      <c r="R234" s="151"/>
      <c r="S234" s="153"/>
      <c r="T234" s="151"/>
      <c r="U234" s="153"/>
      <c r="V234" s="151"/>
      <c r="W234" s="153"/>
      <c r="X234" s="151"/>
      <c r="Y234" s="153"/>
      <c r="Z234" s="61">
        <f t="shared" si="39"/>
        <v>0</v>
      </c>
      <c r="AA234" s="75">
        <f t="shared" si="40"/>
        <v>0</v>
      </c>
      <c r="AB234" s="151"/>
      <c r="AC234" s="153"/>
      <c r="AD234" s="151">
        <v>31366</v>
      </c>
      <c r="AE234" s="153">
        <v>30672</v>
      </c>
      <c r="AF234" s="151"/>
      <c r="AG234" s="153"/>
      <c r="AH234" s="151"/>
      <c r="AI234" s="153"/>
      <c r="AJ234" s="151"/>
      <c r="AK234" s="153"/>
      <c r="AL234" s="151"/>
      <c r="AM234" s="153"/>
      <c r="AN234" s="151"/>
      <c r="AO234" s="153"/>
      <c r="AP234" s="61">
        <f t="shared" si="41"/>
        <v>31366</v>
      </c>
      <c r="AQ234" s="75">
        <f t="shared" si="42"/>
        <v>30672</v>
      </c>
      <c r="AR234" s="150" t="s">
        <v>171</v>
      </c>
    </row>
    <row r="235" spans="1:44" x14ac:dyDescent="0.25">
      <c r="A235" s="4" t="s">
        <v>201</v>
      </c>
      <c r="B235" s="11" t="s">
        <v>202</v>
      </c>
      <c r="C235" s="5" t="s">
        <v>67</v>
      </c>
      <c r="D235" s="151">
        <v>9873</v>
      </c>
      <c r="E235" s="153">
        <v>10129</v>
      </c>
      <c r="F235" s="151">
        <v>55</v>
      </c>
      <c r="G235" s="153">
        <v>55</v>
      </c>
      <c r="H235" s="151">
        <v>662</v>
      </c>
      <c r="I235" s="153">
        <v>662</v>
      </c>
      <c r="J235" s="151">
        <v>71</v>
      </c>
      <c r="K235" s="153">
        <v>71</v>
      </c>
      <c r="L235" s="151">
        <v>266</v>
      </c>
      <c r="M235" s="153">
        <v>266</v>
      </c>
      <c r="N235" s="151">
        <v>30</v>
      </c>
      <c r="O235" s="153">
        <v>30</v>
      </c>
      <c r="P235" s="151"/>
      <c r="Q235" s="153"/>
      <c r="R235" s="151"/>
      <c r="S235" s="153"/>
      <c r="T235" s="151"/>
      <c r="U235" s="153"/>
      <c r="V235" s="151"/>
      <c r="W235" s="153"/>
      <c r="X235" s="151"/>
      <c r="Y235" s="153"/>
      <c r="Z235" s="61">
        <f t="shared" si="39"/>
        <v>10957</v>
      </c>
      <c r="AA235" s="75">
        <f t="shared" si="40"/>
        <v>11213</v>
      </c>
      <c r="AB235" s="151"/>
      <c r="AC235" s="153"/>
      <c r="AD235" s="151">
        <v>220</v>
      </c>
      <c r="AE235" s="153">
        <v>300</v>
      </c>
      <c r="AF235" s="151">
        <v>750</v>
      </c>
      <c r="AG235" s="153">
        <v>250</v>
      </c>
      <c r="AH235" s="151"/>
      <c r="AI235" s="153"/>
      <c r="AJ235" s="151"/>
      <c r="AK235" s="153"/>
      <c r="AL235" s="151"/>
      <c r="AM235" s="153"/>
      <c r="AN235" s="151"/>
      <c r="AO235" s="153"/>
      <c r="AP235" s="61">
        <f t="shared" si="41"/>
        <v>11927</v>
      </c>
      <c r="AQ235" s="75">
        <f t="shared" si="42"/>
        <v>11763</v>
      </c>
      <c r="AR235" s="150" t="s">
        <v>68</v>
      </c>
    </row>
    <row r="236" spans="1:44" x14ac:dyDescent="0.25">
      <c r="A236" s="4" t="s">
        <v>201</v>
      </c>
      <c r="B236" s="11" t="s">
        <v>203</v>
      </c>
      <c r="C236" s="5" t="s">
        <v>73</v>
      </c>
      <c r="D236" s="151">
        <v>7445</v>
      </c>
      <c r="E236" s="153">
        <v>8083</v>
      </c>
      <c r="F236" s="151">
        <v>15</v>
      </c>
      <c r="G236" s="153">
        <v>15</v>
      </c>
      <c r="H236" s="151">
        <v>820</v>
      </c>
      <c r="I236" s="153">
        <v>800</v>
      </c>
      <c r="J236" s="151">
        <v>15</v>
      </c>
      <c r="K236" s="153">
        <v>15</v>
      </c>
      <c r="L236" s="151">
        <v>220</v>
      </c>
      <c r="M236" s="153">
        <v>200</v>
      </c>
      <c r="N236" s="151">
        <v>40</v>
      </c>
      <c r="O236" s="153">
        <v>40</v>
      </c>
      <c r="P236" s="151"/>
      <c r="Q236" s="153"/>
      <c r="R236" s="151">
        <v>25</v>
      </c>
      <c r="S236" s="153">
        <v>25</v>
      </c>
      <c r="T236" s="151"/>
      <c r="U236" s="153"/>
      <c r="V236" s="151"/>
      <c r="W236" s="153"/>
      <c r="X236" s="151"/>
      <c r="Y236" s="153"/>
      <c r="Z236" s="61">
        <f t="shared" si="39"/>
        <v>8580</v>
      </c>
      <c r="AA236" s="75">
        <f t="shared" si="40"/>
        <v>9178</v>
      </c>
      <c r="AB236" s="151">
        <v>15</v>
      </c>
      <c r="AC236" s="153">
        <v>15</v>
      </c>
      <c r="AD236" s="151">
        <v>335</v>
      </c>
      <c r="AE236" s="153">
        <v>300</v>
      </c>
      <c r="AF236" s="151">
        <v>1860</v>
      </c>
      <c r="AG236" s="153">
        <v>1700</v>
      </c>
      <c r="AH236" s="151">
        <v>1491</v>
      </c>
      <c r="AI236" s="153">
        <v>1471</v>
      </c>
      <c r="AJ236" s="151"/>
      <c r="AK236" s="153"/>
      <c r="AL236" s="151"/>
      <c r="AM236" s="153"/>
      <c r="AN236" s="151"/>
      <c r="AO236" s="153"/>
      <c r="AP236" s="61">
        <f t="shared" si="41"/>
        <v>12281</v>
      </c>
      <c r="AQ236" s="75">
        <f t="shared" si="42"/>
        <v>12664</v>
      </c>
      <c r="AR236" s="150" t="s">
        <v>74</v>
      </c>
    </row>
    <row r="237" spans="1:44" x14ac:dyDescent="0.25">
      <c r="A237" s="4" t="s">
        <v>201</v>
      </c>
      <c r="B237" s="11" t="s">
        <v>204</v>
      </c>
      <c r="C237" s="5" t="s">
        <v>73</v>
      </c>
      <c r="D237" s="151">
        <v>4929</v>
      </c>
      <c r="E237" s="153">
        <v>5339</v>
      </c>
      <c r="F237" s="151">
        <v>140</v>
      </c>
      <c r="G237" s="153">
        <v>140</v>
      </c>
      <c r="H237" s="151"/>
      <c r="I237" s="153"/>
      <c r="J237" s="151">
        <v>10</v>
      </c>
      <c r="K237" s="153">
        <v>10</v>
      </c>
      <c r="L237" s="151">
        <v>70</v>
      </c>
      <c r="M237" s="153">
        <v>70</v>
      </c>
      <c r="N237" s="151">
        <v>15</v>
      </c>
      <c r="O237" s="153">
        <v>15</v>
      </c>
      <c r="P237" s="151">
        <v>300</v>
      </c>
      <c r="Q237" s="153">
        <v>300</v>
      </c>
      <c r="R237" s="151">
        <v>30</v>
      </c>
      <c r="S237" s="153">
        <v>30</v>
      </c>
      <c r="T237" s="151"/>
      <c r="U237" s="153"/>
      <c r="V237" s="151"/>
      <c r="W237" s="153"/>
      <c r="X237" s="151"/>
      <c r="Y237" s="153"/>
      <c r="Z237" s="61">
        <f t="shared" si="39"/>
        <v>5494</v>
      </c>
      <c r="AA237" s="75">
        <f t="shared" si="40"/>
        <v>5904</v>
      </c>
      <c r="AB237" s="151">
        <v>30</v>
      </c>
      <c r="AC237" s="153">
        <v>15</v>
      </c>
      <c r="AD237" s="151">
        <v>125</v>
      </c>
      <c r="AE237" s="153">
        <v>100</v>
      </c>
      <c r="AF237" s="151">
        <v>520</v>
      </c>
      <c r="AG237" s="153">
        <v>420</v>
      </c>
      <c r="AH237" s="151">
        <v>900</v>
      </c>
      <c r="AI237" s="153">
        <v>887</v>
      </c>
      <c r="AJ237" s="151"/>
      <c r="AK237" s="153"/>
      <c r="AL237" s="151"/>
      <c r="AM237" s="153"/>
      <c r="AN237" s="151"/>
      <c r="AO237" s="153"/>
      <c r="AP237" s="61">
        <f t="shared" si="41"/>
        <v>7069</v>
      </c>
      <c r="AQ237" s="75">
        <f t="shared" si="42"/>
        <v>7326</v>
      </c>
      <c r="AR237" s="150" t="s">
        <v>74</v>
      </c>
    </row>
    <row r="238" spans="1:44" x14ac:dyDescent="0.25">
      <c r="A238" s="11" t="s">
        <v>201</v>
      </c>
      <c r="B238" s="11" t="s">
        <v>77</v>
      </c>
      <c r="C238" s="12" t="s">
        <v>73</v>
      </c>
      <c r="D238" s="151">
        <v>20549</v>
      </c>
      <c r="E238" s="153">
        <v>20644</v>
      </c>
      <c r="F238" s="151">
        <v>96</v>
      </c>
      <c r="G238" s="153">
        <v>70</v>
      </c>
      <c r="H238" s="151"/>
      <c r="I238" s="153"/>
      <c r="J238" s="151">
        <v>40</v>
      </c>
      <c r="K238" s="153">
        <v>40</v>
      </c>
      <c r="L238" s="151">
        <v>1350</v>
      </c>
      <c r="M238" s="153">
        <v>1350</v>
      </c>
      <c r="N238" s="151">
        <v>120</v>
      </c>
      <c r="O238" s="153">
        <v>130</v>
      </c>
      <c r="P238" s="151">
        <v>3700</v>
      </c>
      <c r="Q238" s="153">
        <v>3700</v>
      </c>
      <c r="R238" s="151">
        <v>450</v>
      </c>
      <c r="S238" s="153">
        <v>400</v>
      </c>
      <c r="T238" s="151"/>
      <c r="U238" s="153"/>
      <c r="V238" s="151"/>
      <c r="W238" s="153"/>
      <c r="X238" s="151"/>
      <c r="Y238" s="153"/>
      <c r="Z238" s="61">
        <f t="shared" si="39"/>
        <v>26305</v>
      </c>
      <c r="AA238" s="75">
        <f t="shared" si="40"/>
        <v>26334</v>
      </c>
      <c r="AB238" s="151">
        <v>50</v>
      </c>
      <c r="AC238" s="153"/>
      <c r="AD238" s="151">
        <v>7610</v>
      </c>
      <c r="AE238" s="153">
        <v>6600</v>
      </c>
      <c r="AF238" s="151">
        <v>3060</v>
      </c>
      <c r="AG238" s="153">
        <v>2000</v>
      </c>
      <c r="AH238" s="151"/>
      <c r="AI238" s="153"/>
      <c r="AJ238" s="151"/>
      <c r="AK238" s="153"/>
      <c r="AL238" s="151"/>
      <c r="AM238" s="153"/>
      <c r="AN238" s="151"/>
      <c r="AO238" s="153"/>
      <c r="AP238" s="61">
        <f t="shared" si="41"/>
        <v>37025</v>
      </c>
      <c r="AQ238" s="75">
        <f t="shared" si="42"/>
        <v>34934</v>
      </c>
      <c r="AR238" s="150" t="s">
        <v>74</v>
      </c>
    </row>
    <row r="239" spans="1:44" ht="26.25" x14ac:dyDescent="0.25">
      <c r="A239" s="4" t="s">
        <v>201</v>
      </c>
      <c r="B239" s="11" t="s">
        <v>205</v>
      </c>
      <c r="C239" s="5" t="s">
        <v>156</v>
      </c>
      <c r="D239" s="151"/>
      <c r="E239" s="153"/>
      <c r="F239" s="151"/>
      <c r="G239" s="153"/>
      <c r="H239" s="151"/>
      <c r="I239" s="153"/>
      <c r="J239" s="151"/>
      <c r="K239" s="153"/>
      <c r="L239" s="151"/>
      <c r="M239" s="153"/>
      <c r="N239" s="151"/>
      <c r="O239" s="153"/>
      <c r="P239" s="151"/>
      <c r="Q239" s="153"/>
      <c r="R239" s="151"/>
      <c r="S239" s="153"/>
      <c r="T239" s="151"/>
      <c r="U239" s="153"/>
      <c r="V239" s="151"/>
      <c r="W239" s="153"/>
      <c r="X239" s="151"/>
      <c r="Y239" s="153"/>
      <c r="Z239" s="61">
        <f t="shared" si="39"/>
        <v>0</v>
      </c>
      <c r="AA239" s="75">
        <f t="shared" si="40"/>
        <v>0</v>
      </c>
      <c r="AB239" s="151"/>
      <c r="AC239" s="153"/>
      <c r="AD239" s="151">
        <v>1200</v>
      </c>
      <c r="AE239" s="153">
        <v>1200</v>
      </c>
      <c r="AF239" s="151"/>
      <c r="AG239" s="153"/>
      <c r="AH239" s="151"/>
      <c r="AI239" s="153"/>
      <c r="AJ239" s="151"/>
      <c r="AK239" s="153"/>
      <c r="AL239" s="151"/>
      <c r="AM239" s="153"/>
      <c r="AN239" s="151"/>
      <c r="AO239" s="153"/>
      <c r="AP239" s="61">
        <f t="shared" si="41"/>
        <v>1200</v>
      </c>
      <c r="AQ239" s="75">
        <f t="shared" si="42"/>
        <v>1200</v>
      </c>
      <c r="AR239" s="150" t="s">
        <v>58</v>
      </c>
    </row>
    <row r="240" spans="1:44" ht="26.25" x14ac:dyDescent="0.25">
      <c r="A240" s="4" t="s">
        <v>201</v>
      </c>
      <c r="B240" s="4" t="s">
        <v>206</v>
      </c>
      <c r="C240" s="5" t="s">
        <v>82</v>
      </c>
      <c r="D240" s="151">
        <f>29047+712</f>
        <v>29759</v>
      </c>
      <c r="E240" s="153">
        <v>29879</v>
      </c>
      <c r="F240" s="151"/>
      <c r="G240" s="153"/>
      <c r="H240" s="151"/>
      <c r="I240" s="153"/>
      <c r="J240" s="151"/>
      <c r="K240" s="153"/>
      <c r="L240" s="151"/>
      <c r="M240" s="153"/>
      <c r="N240" s="151"/>
      <c r="O240" s="153"/>
      <c r="P240" s="151"/>
      <c r="Q240" s="153"/>
      <c r="R240" s="151"/>
      <c r="S240" s="153"/>
      <c r="T240" s="151"/>
      <c r="U240" s="153"/>
      <c r="V240" s="151"/>
      <c r="W240" s="153"/>
      <c r="X240" s="151"/>
      <c r="Y240" s="153"/>
      <c r="Z240" s="61">
        <f t="shared" si="39"/>
        <v>29759</v>
      </c>
      <c r="AA240" s="75">
        <f t="shared" si="40"/>
        <v>29879</v>
      </c>
      <c r="AB240" s="151"/>
      <c r="AC240" s="153"/>
      <c r="AD240" s="151"/>
      <c r="AE240" s="153"/>
      <c r="AF240" s="151"/>
      <c r="AG240" s="153"/>
      <c r="AH240" s="151"/>
      <c r="AI240" s="153"/>
      <c r="AJ240" s="151"/>
      <c r="AK240" s="153"/>
      <c r="AL240" s="151"/>
      <c r="AM240" s="153"/>
      <c r="AN240" s="151"/>
      <c r="AO240" s="153"/>
      <c r="AP240" s="61">
        <f t="shared" si="41"/>
        <v>29759</v>
      </c>
      <c r="AQ240" s="75">
        <f t="shared" si="42"/>
        <v>29879</v>
      </c>
      <c r="AR240" s="150" t="s">
        <v>128</v>
      </c>
    </row>
    <row r="241" spans="1:44" x14ac:dyDescent="0.25">
      <c r="A241" s="4" t="s">
        <v>201</v>
      </c>
      <c r="B241" s="11" t="s">
        <v>181</v>
      </c>
      <c r="C241" s="5" t="s">
        <v>82</v>
      </c>
      <c r="D241" s="151">
        <v>30913</v>
      </c>
      <c r="E241" s="153">
        <v>44418</v>
      </c>
      <c r="F241" s="151">
        <v>500</v>
      </c>
      <c r="G241" s="153">
        <v>500</v>
      </c>
      <c r="H241" s="151">
        <v>12000</v>
      </c>
      <c r="I241" s="153">
        <v>10000</v>
      </c>
      <c r="J241" s="151">
        <v>340</v>
      </c>
      <c r="K241" s="153">
        <v>380</v>
      </c>
      <c r="L241" s="151">
        <v>4300</v>
      </c>
      <c r="M241" s="153">
        <v>4100</v>
      </c>
      <c r="N241" s="151">
        <v>350</v>
      </c>
      <c r="O241" s="153">
        <v>380</v>
      </c>
      <c r="P241" s="151"/>
      <c r="Q241" s="153"/>
      <c r="R241" s="151">
        <v>380</v>
      </c>
      <c r="S241" s="153">
        <v>380</v>
      </c>
      <c r="T241" s="151">
        <v>6936</v>
      </c>
      <c r="U241" s="153">
        <v>7371</v>
      </c>
      <c r="V241" s="151"/>
      <c r="W241" s="153"/>
      <c r="X241" s="151"/>
      <c r="Y241" s="153"/>
      <c r="Z241" s="61">
        <f t="shared" si="39"/>
        <v>55719</v>
      </c>
      <c r="AA241" s="75">
        <f t="shared" si="40"/>
        <v>67529</v>
      </c>
      <c r="AB241" s="151"/>
      <c r="AC241" s="153"/>
      <c r="AD241" s="151">
        <v>1760</v>
      </c>
      <c r="AE241" s="153">
        <v>1470</v>
      </c>
      <c r="AF241" s="151">
        <v>6767</v>
      </c>
      <c r="AG241" s="153">
        <v>6500</v>
      </c>
      <c r="AH241" s="151"/>
      <c r="AI241" s="153"/>
      <c r="AJ241" s="151"/>
      <c r="AK241" s="153"/>
      <c r="AL241" s="151"/>
      <c r="AM241" s="153"/>
      <c r="AN241" s="151"/>
      <c r="AO241" s="153"/>
      <c r="AP241" s="61">
        <f t="shared" si="41"/>
        <v>64246</v>
      </c>
      <c r="AQ241" s="75">
        <f t="shared" si="42"/>
        <v>75499</v>
      </c>
      <c r="AR241" s="150" t="s">
        <v>128</v>
      </c>
    </row>
    <row r="242" spans="1:44" x14ac:dyDescent="0.25">
      <c r="A242" s="4" t="s">
        <v>201</v>
      </c>
      <c r="B242" s="11" t="s">
        <v>85</v>
      </c>
      <c r="C242" s="5" t="s">
        <v>86</v>
      </c>
      <c r="D242" s="151">
        <v>7728</v>
      </c>
      <c r="E242" s="153">
        <v>8557</v>
      </c>
      <c r="F242" s="151">
        <v>430</v>
      </c>
      <c r="G242" s="153">
        <v>470</v>
      </c>
      <c r="H242" s="151">
        <v>11100</v>
      </c>
      <c r="I242" s="153">
        <v>10000</v>
      </c>
      <c r="J242" s="151">
        <v>700</v>
      </c>
      <c r="K242" s="153">
        <v>700</v>
      </c>
      <c r="L242" s="151">
        <v>3000</v>
      </c>
      <c r="M242" s="153">
        <v>3000</v>
      </c>
      <c r="N242" s="151">
        <v>400</v>
      </c>
      <c r="O242" s="153">
        <v>450</v>
      </c>
      <c r="P242" s="151"/>
      <c r="Q242" s="153"/>
      <c r="R242" s="151">
        <v>600</v>
      </c>
      <c r="S242" s="153">
        <v>600</v>
      </c>
      <c r="T242" s="151">
        <v>2393</v>
      </c>
      <c r="U242" s="153">
        <v>2760</v>
      </c>
      <c r="V242" s="151"/>
      <c r="W242" s="153"/>
      <c r="X242" s="151"/>
      <c r="Y242" s="153"/>
      <c r="Z242" s="61">
        <f t="shared" si="39"/>
        <v>26351</v>
      </c>
      <c r="AA242" s="75">
        <f t="shared" si="40"/>
        <v>26537</v>
      </c>
      <c r="AB242" s="151"/>
      <c r="AC242" s="153"/>
      <c r="AD242" s="151">
        <v>4790</v>
      </c>
      <c r="AE242" s="153">
        <v>3890</v>
      </c>
      <c r="AF242" s="151">
        <v>10005</v>
      </c>
      <c r="AG242" s="153">
        <v>8800</v>
      </c>
      <c r="AH242" s="151"/>
      <c r="AI242" s="153"/>
      <c r="AJ242" s="151"/>
      <c r="AK242" s="153"/>
      <c r="AL242" s="151"/>
      <c r="AM242" s="153"/>
      <c r="AN242" s="151"/>
      <c r="AO242" s="153"/>
      <c r="AP242" s="61">
        <f t="shared" si="41"/>
        <v>41146</v>
      </c>
      <c r="AQ242" s="75">
        <f t="shared" si="42"/>
        <v>39227</v>
      </c>
      <c r="AR242" s="150" t="s">
        <v>128</v>
      </c>
    </row>
    <row r="243" spans="1:44" ht="26.25" x14ac:dyDescent="0.25">
      <c r="A243" s="4" t="s">
        <v>201</v>
      </c>
      <c r="B243" s="11" t="s">
        <v>207</v>
      </c>
      <c r="C243" s="13" t="s">
        <v>86</v>
      </c>
      <c r="D243" s="151"/>
      <c r="E243" s="153"/>
      <c r="F243" s="151"/>
      <c r="G243" s="153"/>
      <c r="H243" s="151"/>
      <c r="I243" s="153"/>
      <c r="J243" s="151"/>
      <c r="K243" s="153"/>
      <c r="L243" s="151"/>
      <c r="M243" s="153"/>
      <c r="N243" s="151"/>
      <c r="O243" s="153"/>
      <c r="P243" s="151"/>
      <c r="Q243" s="153"/>
      <c r="R243" s="151"/>
      <c r="S243" s="153"/>
      <c r="T243" s="151">
        <v>1000</v>
      </c>
      <c r="U243" s="153">
        <v>600</v>
      </c>
      <c r="V243" s="151"/>
      <c r="W243" s="153"/>
      <c r="X243" s="151"/>
      <c r="Y243" s="153"/>
      <c r="Z243" s="61">
        <f t="shared" si="39"/>
        <v>1000</v>
      </c>
      <c r="AA243" s="75">
        <f t="shared" si="40"/>
        <v>600</v>
      </c>
      <c r="AB243" s="151"/>
      <c r="AC243" s="153"/>
      <c r="AD243" s="151"/>
      <c r="AE243" s="153"/>
      <c r="AF243" s="151"/>
      <c r="AG243" s="153"/>
      <c r="AH243" s="151"/>
      <c r="AI243" s="153"/>
      <c r="AJ243" s="151"/>
      <c r="AK243" s="153"/>
      <c r="AL243" s="151"/>
      <c r="AM243" s="153"/>
      <c r="AN243" s="151"/>
      <c r="AO243" s="153"/>
      <c r="AP243" s="61">
        <f t="shared" si="41"/>
        <v>1000</v>
      </c>
      <c r="AQ243" s="75">
        <f t="shared" si="42"/>
        <v>600</v>
      </c>
      <c r="AR243" s="150" t="s">
        <v>128</v>
      </c>
    </row>
    <row r="244" spans="1:44" ht="26.25" x14ac:dyDescent="0.25">
      <c r="A244" s="4" t="s">
        <v>201</v>
      </c>
      <c r="B244" s="4" t="s">
        <v>88</v>
      </c>
      <c r="C244" s="5" t="s">
        <v>86</v>
      </c>
      <c r="D244" s="151"/>
      <c r="E244" s="153"/>
      <c r="F244" s="151"/>
      <c r="G244" s="153"/>
      <c r="H244" s="151"/>
      <c r="I244" s="153"/>
      <c r="J244" s="151"/>
      <c r="K244" s="153"/>
      <c r="L244" s="151"/>
      <c r="M244" s="153"/>
      <c r="N244" s="151"/>
      <c r="O244" s="153"/>
      <c r="P244" s="151"/>
      <c r="Q244" s="153"/>
      <c r="R244" s="151"/>
      <c r="S244" s="153"/>
      <c r="T244" s="151">
        <v>1431</v>
      </c>
      <c r="U244" s="153">
        <v>1295</v>
      </c>
      <c r="V244" s="151"/>
      <c r="W244" s="153"/>
      <c r="X244" s="151"/>
      <c r="Y244" s="153"/>
      <c r="Z244" s="61">
        <f t="shared" si="39"/>
        <v>1431</v>
      </c>
      <c r="AA244" s="75">
        <f t="shared" si="40"/>
        <v>1295</v>
      </c>
      <c r="AB244" s="151"/>
      <c r="AC244" s="153"/>
      <c r="AD244" s="151"/>
      <c r="AE244" s="153"/>
      <c r="AF244" s="151"/>
      <c r="AG244" s="153"/>
      <c r="AH244" s="151"/>
      <c r="AI244" s="153"/>
      <c r="AJ244" s="151"/>
      <c r="AK244" s="153"/>
      <c r="AL244" s="151"/>
      <c r="AM244" s="153"/>
      <c r="AN244" s="151"/>
      <c r="AO244" s="153"/>
      <c r="AP244" s="61">
        <f t="shared" si="41"/>
        <v>1431</v>
      </c>
      <c r="AQ244" s="75">
        <f t="shared" si="42"/>
        <v>1295</v>
      </c>
      <c r="AR244" s="150" t="s">
        <v>128</v>
      </c>
    </row>
    <row r="245" spans="1:44" ht="26.25" x14ac:dyDescent="0.25">
      <c r="A245" s="4" t="s">
        <v>201</v>
      </c>
      <c r="B245" s="4" t="s">
        <v>89</v>
      </c>
      <c r="C245" s="5" t="s">
        <v>86</v>
      </c>
      <c r="D245" s="151"/>
      <c r="E245" s="153"/>
      <c r="F245" s="151"/>
      <c r="G245" s="153"/>
      <c r="H245" s="151"/>
      <c r="I245" s="153"/>
      <c r="J245" s="151"/>
      <c r="K245" s="153"/>
      <c r="L245" s="151"/>
      <c r="M245" s="153"/>
      <c r="N245" s="151"/>
      <c r="O245" s="153"/>
      <c r="P245" s="151"/>
      <c r="Q245" s="153"/>
      <c r="R245" s="151"/>
      <c r="S245" s="153"/>
      <c r="T245" s="151">
        <v>1431</v>
      </c>
      <c r="U245" s="153">
        <v>1295</v>
      </c>
      <c r="V245" s="151"/>
      <c r="W245" s="153"/>
      <c r="X245" s="151"/>
      <c r="Y245" s="153"/>
      <c r="Z245" s="61">
        <f t="shared" si="39"/>
        <v>1431</v>
      </c>
      <c r="AA245" s="75">
        <f t="shared" si="40"/>
        <v>1295</v>
      </c>
      <c r="AB245" s="151"/>
      <c r="AC245" s="153"/>
      <c r="AD245" s="151"/>
      <c r="AE245" s="153"/>
      <c r="AF245" s="151"/>
      <c r="AG245" s="153"/>
      <c r="AH245" s="151"/>
      <c r="AI245" s="153"/>
      <c r="AJ245" s="151"/>
      <c r="AK245" s="153"/>
      <c r="AL245" s="151"/>
      <c r="AM245" s="153"/>
      <c r="AN245" s="151"/>
      <c r="AO245" s="153"/>
      <c r="AP245" s="61">
        <f t="shared" si="41"/>
        <v>1431</v>
      </c>
      <c r="AQ245" s="75">
        <f t="shared" si="42"/>
        <v>1295</v>
      </c>
      <c r="AR245" s="150" t="s">
        <v>128</v>
      </c>
    </row>
    <row r="246" spans="1:44" ht="26.25" x14ac:dyDescent="0.25">
      <c r="A246" s="4" t="s">
        <v>201</v>
      </c>
      <c r="B246" s="4" t="s">
        <v>87</v>
      </c>
      <c r="C246" s="5" t="s">
        <v>86</v>
      </c>
      <c r="D246" s="151">
        <f>15030+112</f>
        <v>15142</v>
      </c>
      <c r="E246" s="153">
        <v>20219</v>
      </c>
      <c r="F246" s="151"/>
      <c r="G246" s="153"/>
      <c r="H246" s="151"/>
      <c r="I246" s="153"/>
      <c r="J246" s="151"/>
      <c r="K246" s="153"/>
      <c r="L246" s="151"/>
      <c r="M246" s="153"/>
      <c r="N246" s="151"/>
      <c r="O246" s="153"/>
      <c r="P246" s="151"/>
      <c r="Q246" s="153"/>
      <c r="R246" s="151"/>
      <c r="S246" s="153"/>
      <c r="T246" s="151"/>
      <c r="U246" s="153"/>
      <c r="V246" s="151"/>
      <c r="W246" s="153"/>
      <c r="X246" s="151"/>
      <c r="Y246" s="153"/>
      <c r="Z246" s="61">
        <f t="shared" si="39"/>
        <v>15142</v>
      </c>
      <c r="AA246" s="75">
        <f t="shared" si="40"/>
        <v>20219</v>
      </c>
      <c r="AB246" s="151"/>
      <c r="AC246" s="153"/>
      <c r="AD246" s="151"/>
      <c r="AE246" s="153"/>
      <c r="AF246" s="151"/>
      <c r="AG246" s="153"/>
      <c r="AH246" s="151"/>
      <c r="AI246" s="153"/>
      <c r="AJ246" s="151"/>
      <c r="AK246" s="153"/>
      <c r="AL246" s="151"/>
      <c r="AM246" s="153"/>
      <c r="AN246" s="151"/>
      <c r="AO246" s="153"/>
      <c r="AP246" s="61">
        <f t="shared" si="41"/>
        <v>15142</v>
      </c>
      <c r="AQ246" s="75">
        <f t="shared" si="42"/>
        <v>20219</v>
      </c>
      <c r="AR246" s="150" t="s">
        <v>128</v>
      </c>
    </row>
    <row r="247" spans="1:44" x14ac:dyDescent="0.25">
      <c r="A247" s="4" t="s">
        <v>201</v>
      </c>
      <c r="B247" s="11" t="s">
        <v>90</v>
      </c>
      <c r="C247" s="5" t="s">
        <v>86</v>
      </c>
      <c r="D247" s="151"/>
      <c r="E247" s="153"/>
      <c r="F247" s="151"/>
      <c r="G247" s="153"/>
      <c r="H247" s="151"/>
      <c r="I247" s="153"/>
      <c r="J247" s="151"/>
      <c r="K247" s="153"/>
      <c r="L247" s="151"/>
      <c r="M247" s="153"/>
      <c r="N247" s="151"/>
      <c r="O247" s="153"/>
      <c r="P247" s="151"/>
      <c r="Q247" s="153"/>
      <c r="R247" s="151"/>
      <c r="S247" s="153"/>
      <c r="T247" s="151">
        <v>2100</v>
      </c>
      <c r="U247" s="153">
        <v>2600</v>
      </c>
      <c r="V247" s="151"/>
      <c r="W247" s="153"/>
      <c r="X247" s="151"/>
      <c r="Y247" s="153"/>
      <c r="Z247" s="61">
        <f t="shared" si="39"/>
        <v>2100</v>
      </c>
      <c r="AA247" s="75">
        <f t="shared" si="40"/>
        <v>2600</v>
      </c>
      <c r="AB247" s="151"/>
      <c r="AC247" s="153"/>
      <c r="AD247" s="151"/>
      <c r="AE247" s="153"/>
      <c r="AF247" s="151"/>
      <c r="AG247" s="153"/>
      <c r="AH247" s="151"/>
      <c r="AI247" s="153"/>
      <c r="AJ247" s="151"/>
      <c r="AK247" s="153"/>
      <c r="AL247" s="151"/>
      <c r="AM247" s="153"/>
      <c r="AN247" s="151"/>
      <c r="AO247" s="153"/>
      <c r="AP247" s="61">
        <f t="shared" si="41"/>
        <v>2100</v>
      </c>
      <c r="AQ247" s="75">
        <f t="shared" si="42"/>
        <v>2600</v>
      </c>
      <c r="AR247" s="150" t="s">
        <v>128</v>
      </c>
    </row>
    <row r="248" spans="1:44" ht="26.25" x14ac:dyDescent="0.25">
      <c r="A248" s="4" t="s">
        <v>201</v>
      </c>
      <c r="B248" s="11" t="s">
        <v>208</v>
      </c>
      <c r="C248" s="5" t="s">
        <v>96</v>
      </c>
      <c r="D248" s="151"/>
      <c r="E248" s="153"/>
      <c r="F248" s="151"/>
      <c r="G248" s="153"/>
      <c r="H248" s="151"/>
      <c r="I248" s="153"/>
      <c r="J248" s="151"/>
      <c r="K248" s="153"/>
      <c r="L248" s="151"/>
      <c r="M248" s="153"/>
      <c r="N248" s="151"/>
      <c r="O248" s="153"/>
      <c r="P248" s="151"/>
      <c r="Q248" s="153"/>
      <c r="R248" s="151">
        <v>4020</v>
      </c>
      <c r="S248" s="153">
        <v>4000</v>
      </c>
      <c r="T248" s="151"/>
      <c r="U248" s="153"/>
      <c r="V248" s="151">
        <v>15103</v>
      </c>
      <c r="W248" s="153">
        <v>15600</v>
      </c>
      <c r="X248" s="151"/>
      <c r="Y248" s="153"/>
      <c r="Z248" s="61">
        <f t="shared" si="39"/>
        <v>19123</v>
      </c>
      <c r="AA248" s="75">
        <f t="shared" si="40"/>
        <v>19600</v>
      </c>
      <c r="AB248" s="151"/>
      <c r="AC248" s="153"/>
      <c r="AD248" s="151"/>
      <c r="AE248" s="153"/>
      <c r="AF248" s="151"/>
      <c r="AG248" s="153"/>
      <c r="AH248" s="151"/>
      <c r="AI248" s="153"/>
      <c r="AJ248" s="151"/>
      <c r="AK248" s="153"/>
      <c r="AL248" s="151"/>
      <c r="AM248" s="153"/>
      <c r="AN248" s="151"/>
      <c r="AO248" s="153"/>
      <c r="AP248" s="61">
        <f t="shared" si="41"/>
        <v>19123</v>
      </c>
      <c r="AQ248" s="75">
        <f t="shared" si="42"/>
        <v>19600</v>
      </c>
      <c r="AR248" s="150" t="s">
        <v>128</v>
      </c>
    </row>
    <row r="249" spans="1:44" ht="39" x14ac:dyDescent="0.25">
      <c r="A249" s="4" t="s">
        <v>201</v>
      </c>
      <c r="B249" s="11" t="s">
        <v>209</v>
      </c>
      <c r="C249" s="5" t="s">
        <v>96</v>
      </c>
      <c r="D249" s="151"/>
      <c r="E249" s="153"/>
      <c r="F249" s="151"/>
      <c r="G249" s="153"/>
      <c r="H249" s="151"/>
      <c r="I249" s="153"/>
      <c r="J249" s="151"/>
      <c r="K249" s="153"/>
      <c r="L249" s="151"/>
      <c r="M249" s="153"/>
      <c r="N249" s="151"/>
      <c r="O249" s="153"/>
      <c r="P249" s="151"/>
      <c r="Q249" s="153"/>
      <c r="R249" s="151"/>
      <c r="S249" s="153"/>
      <c r="T249" s="151"/>
      <c r="U249" s="153"/>
      <c r="V249" s="151">
        <v>2700</v>
      </c>
      <c r="W249" s="153">
        <v>2500</v>
      </c>
      <c r="X249" s="151"/>
      <c r="Y249" s="153"/>
      <c r="Z249" s="61">
        <f t="shared" si="39"/>
        <v>2700</v>
      </c>
      <c r="AA249" s="75">
        <f t="shared" si="40"/>
        <v>2500</v>
      </c>
      <c r="AB249" s="151"/>
      <c r="AC249" s="153"/>
      <c r="AD249" s="151"/>
      <c r="AE249" s="153"/>
      <c r="AF249" s="151"/>
      <c r="AG249" s="153"/>
      <c r="AH249" s="151"/>
      <c r="AI249" s="153"/>
      <c r="AJ249" s="151"/>
      <c r="AK249" s="153"/>
      <c r="AL249" s="151"/>
      <c r="AM249" s="153"/>
      <c r="AN249" s="151"/>
      <c r="AO249" s="153"/>
      <c r="AP249" s="61">
        <f t="shared" si="41"/>
        <v>2700</v>
      </c>
      <c r="AQ249" s="75">
        <f t="shared" si="42"/>
        <v>2500</v>
      </c>
      <c r="AR249" s="150" t="s">
        <v>80</v>
      </c>
    </row>
    <row r="250" spans="1:44" x14ac:dyDescent="0.25">
      <c r="A250" s="4" t="s">
        <v>201</v>
      </c>
      <c r="B250" s="11" t="s">
        <v>116</v>
      </c>
      <c r="C250" s="6" t="s">
        <v>96</v>
      </c>
      <c r="D250" s="151">
        <v>31315</v>
      </c>
      <c r="E250" s="153">
        <v>33918</v>
      </c>
      <c r="F250" s="151">
        <v>35</v>
      </c>
      <c r="G250" s="153">
        <v>35</v>
      </c>
      <c r="H250" s="151">
        <v>3000</v>
      </c>
      <c r="I250" s="153">
        <v>3000</v>
      </c>
      <c r="J250" s="151">
        <v>1320</v>
      </c>
      <c r="K250" s="153">
        <v>1320</v>
      </c>
      <c r="L250" s="151">
        <v>3500</v>
      </c>
      <c r="M250" s="153">
        <v>3500</v>
      </c>
      <c r="N250" s="151">
        <v>400</v>
      </c>
      <c r="O250" s="153">
        <v>480</v>
      </c>
      <c r="P250" s="151"/>
      <c r="Q250" s="153"/>
      <c r="R250" s="151"/>
      <c r="S250" s="153"/>
      <c r="T250" s="151"/>
      <c r="U250" s="153"/>
      <c r="V250" s="151"/>
      <c r="W250" s="153"/>
      <c r="X250" s="151"/>
      <c r="Y250" s="153"/>
      <c r="Z250" s="61">
        <f t="shared" si="39"/>
        <v>39570</v>
      </c>
      <c r="AA250" s="75">
        <f t="shared" si="40"/>
        <v>42253</v>
      </c>
      <c r="AB250" s="151"/>
      <c r="AC250" s="153"/>
      <c r="AD250" s="151">
        <v>485</v>
      </c>
      <c r="AE250" s="153">
        <v>400</v>
      </c>
      <c r="AF250" s="151">
        <v>1050</v>
      </c>
      <c r="AG250" s="153">
        <v>1000</v>
      </c>
      <c r="AH250" s="151"/>
      <c r="AI250" s="153"/>
      <c r="AJ250" s="151"/>
      <c r="AK250" s="153"/>
      <c r="AL250" s="151"/>
      <c r="AM250" s="153"/>
      <c r="AN250" s="151"/>
      <c r="AO250" s="153"/>
      <c r="AP250" s="61">
        <f t="shared" si="41"/>
        <v>41105</v>
      </c>
      <c r="AQ250" s="75">
        <f t="shared" si="42"/>
        <v>43653</v>
      </c>
      <c r="AR250" s="150" t="s">
        <v>61</v>
      </c>
    </row>
    <row r="251" spans="1:44" x14ac:dyDescent="0.25">
      <c r="A251" s="11" t="s">
        <v>201</v>
      </c>
      <c r="B251" s="11" t="s">
        <v>113</v>
      </c>
      <c r="C251" s="14" t="s">
        <v>79</v>
      </c>
      <c r="D251" s="151">
        <v>6209</v>
      </c>
      <c r="E251" s="153">
        <v>6466</v>
      </c>
      <c r="F251" s="151"/>
      <c r="G251" s="153"/>
      <c r="H251" s="151">
        <v>1000</v>
      </c>
      <c r="I251" s="153"/>
      <c r="J251" s="151"/>
      <c r="K251" s="153"/>
      <c r="L251" s="151">
        <v>150</v>
      </c>
      <c r="M251" s="153"/>
      <c r="N251" s="151"/>
      <c r="O251" s="153"/>
      <c r="P251" s="151"/>
      <c r="Q251" s="153"/>
      <c r="R251" s="151">
        <v>100</v>
      </c>
      <c r="S251" s="153"/>
      <c r="T251" s="151"/>
      <c r="U251" s="153"/>
      <c r="V251" s="151"/>
      <c r="W251" s="153"/>
      <c r="X251" s="151"/>
      <c r="Y251" s="153"/>
      <c r="Z251" s="61">
        <f t="shared" si="39"/>
        <v>7459</v>
      </c>
      <c r="AA251" s="75">
        <f t="shared" si="40"/>
        <v>6466</v>
      </c>
      <c r="AB251" s="151"/>
      <c r="AC251" s="153"/>
      <c r="AD251" s="151">
        <v>320</v>
      </c>
      <c r="AE251" s="153">
        <v>300</v>
      </c>
      <c r="AF251" s="151">
        <v>450</v>
      </c>
      <c r="AG251" s="153">
        <v>250</v>
      </c>
      <c r="AH251" s="151"/>
      <c r="AI251" s="153"/>
      <c r="AJ251" s="151"/>
      <c r="AK251" s="153"/>
      <c r="AL251" s="151"/>
      <c r="AM251" s="153"/>
      <c r="AN251" s="151"/>
      <c r="AO251" s="153"/>
      <c r="AP251" s="61">
        <f t="shared" si="41"/>
        <v>8229</v>
      </c>
      <c r="AQ251" s="75">
        <f t="shared" si="42"/>
        <v>7016</v>
      </c>
      <c r="AR251" s="150" t="s">
        <v>80</v>
      </c>
    </row>
    <row r="252" spans="1:44" x14ac:dyDescent="0.25">
      <c r="A252" s="4" t="s">
        <v>201</v>
      </c>
      <c r="B252" s="11" t="s">
        <v>69</v>
      </c>
      <c r="C252" s="5" t="s">
        <v>70</v>
      </c>
      <c r="D252" s="151">
        <v>1698</v>
      </c>
      <c r="E252" s="153">
        <v>1780</v>
      </c>
      <c r="F252" s="151"/>
      <c r="G252" s="153"/>
      <c r="H252" s="151"/>
      <c r="I252" s="153"/>
      <c r="J252" s="151"/>
      <c r="K252" s="153"/>
      <c r="L252" s="151"/>
      <c r="M252" s="153"/>
      <c r="N252" s="151"/>
      <c r="O252" s="153"/>
      <c r="P252" s="151"/>
      <c r="Q252" s="153"/>
      <c r="R252" s="151">
        <v>200</v>
      </c>
      <c r="S252" s="153">
        <v>200</v>
      </c>
      <c r="T252" s="151"/>
      <c r="U252" s="153"/>
      <c r="V252" s="151"/>
      <c r="W252" s="153"/>
      <c r="X252" s="151"/>
      <c r="Y252" s="153"/>
      <c r="Z252" s="61">
        <f t="shared" si="39"/>
        <v>1898</v>
      </c>
      <c r="AA252" s="75">
        <f t="shared" si="40"/>
        <v>1980</v>
      </c>
      <c r="AB252" s="151"/>
      <c r="AC252" s="153"/>
      <c r="AD252" s="151">
        <v>300</v>
      </c>
      <c r="AE252" s="153">
        <v>250</v>
      </c>
      <c r="AF252" s="151">
        <v>1200</v>
      </c>
      <c r="AG252" s="153">
        <v>1000</v>
      </c>
      <c r="AH252" s="151"/>
      <c r="AI252" s="153"/>
      <c r="AJ252" s="151"/>
      <c r="AK252" s="153"/>
      <c r="AL252" s="151"/>
      <c r="AM252" s="153"/>
      <c r="AN252" s="151"/>
      <c r="AO252" s="153"/>
      <c r="AP252" s="61">
        <f t="shared" si="41"/>
        <v>3398</v>
      </c>
      <c r="AQ252" s="75">
        <f t="shared" si="42"/>
        <v>3230</v>
      </c>
      <c r="AR252" s="150" t="s">
        <v>71</v>
      </c>
    </row>
    <row r="253" spans="1:44" ht="30" x14ac:dyDescent="0.25">
      <c r="A253" s="4" t="s">
        <v>201</v>
      </c>
      <c r="B253" s="11" t="s">
        <v>210</v>
      </c>
      <c r="C253" s="5" t="s">
        <v>104</v>
      </c>
      <c r="D253" s="151"/>
      <c r="E253" s="153"/>
      <c r="F253" s="151"/>
      <c r="G253" s="153"/>
      <c r="H253" s="151">
        <v>1000</v>
      </c>
      <c r="I253" s="153">
        <v>1500</v>
      </c>
      <c r="J253" s="151">
        <v>120</v>
      </c>
      <c r="K253" s="153">
        <v>350</v>
      </c>
      <c r="L253" s="151">
        <v>80</v>
      </c>
      <c r="M253" s="153">
        <v>1400</v>
      </c>
      <c r="N253" s="151"/>
      <c r="O253" s="153"/>
      <c r="P253" s="151"/>
      <c r="Q253" s="153"/>
      <c r="R253" s="151">
        <v>900</v>
      </c>
      <c r="S253" s="153">
        <v>900</v>
      </c>
      <c r="T253" s="151"/>
      <c r="U253" s="153"/>
      <c r="V253" s="151"/>
      <c r="W253" s="153"/>
      <c r="X253" s="151"/>
      <c r="Y253" s="153"/>
      <c r="Z253" s="61">
        <f t="shared" si="39"/>
        <v>2100</v>
      </c>
      <c r="AA253" s="75">
        <f t="shared" si="40"/>
        <v>4150</v>
      </c>
      <c r="AB253" s="151">
        <v>40</v>
      </c>
      <c r="AC253" s="153"/>
      <c r="AD253" s="151">
        <v>700</v>
      </c>
      <c r="AE253" s="153">
        <v>650</v>
      </c>
      <c r="AF253" s="151">
        <v>710</v>
      </c>
      <c r="AG253" s="153">
        <v>700</v>
      </c>
      <c r="AH253" s="151"/>
      <c r="AI253" s="153"/>
      <c r="AJ253" s="151"/>
      <c r="AK253" s="153"/>
      <c r="AL253" s="151"/>
      <c r="AM253" s="153"/>
      <c r="AN253" s="151"/>
      <c r="AO253" s="153"/>
      <c r="AP253" s="61">
        <f t="shared" si="41"/>
        <v>3550</v>
      </c>
      <c r="AQ253" s="75">
        <f t="shared" si="42"/>
        <v>5500</v>
      </c>
      <c r="AR253" s="150" t="s">
        <v>102</v>
      </c>
    </row>
    <row r="254" spans="1:44" x14ac:dyDescent="0.25">
      <c r="A254" s="4" t="s">
        <v>201</v>
      </c>
      <c r="B254" s="4" t="s">
        <v>91</v>
      </c>
      <c r="C254" s="5" t="s">
        <v>86</v>
      </c>
      <c r="D254" s="151">
        <v>64136</v>
      </c>
      <c r="E254" s="153">
        <v>84632</v>
      </c>
      <c r="F254" s="151"/>
      <c r="G254" s="153"/>
      <c r="H254" s="151"/>
      <c r="I254" s="153"/>
      <c r="J254" s="151"/>
      <c r="K254" s="153"/>
      <c r="L254" s="151"/>
      <c r="M254" s="153"/>
      <c r="N254" s="151"/>
      <c r="O254" s="153"/>
      <c r="P254" s="151"/>
      <c r="Q254" s="153"/>
      <c r="R254" s="151"/>
      <c r="S254" s="153"/>
      <c r="T254" s="151"/>
      <c r="U254" s="153"/>
      <c r="V254" s="151"/>
      <c r="W254" s="153"/>
      <c r="X254" s="151"/>
      <c r="Y254" s="153"/>
      <c r="Z254" s="61">
        <f t="shared" si="39"/>
        <v>64136</v>
      </c>
      <c r="AA254" s="75">
        <f t="shared" si="40"/>
        <v>84632</v>
      </c>
      <c r="AB254" s="151"/>
      <c r="AC254" s="153"/>
      <c r="AD254" s="151"/>
      <c r="AE254" s="153"/>
      <c r="AF254" s="151"/>
      <c r="AG254" s="153"/>
      <c r="AH254" s="151"/>
      <c r="AI254" s="153"/>
      <c r="AJ254" s="151"/>
      <c r="AK254" s="153"/>
      <c r="AL254" s="151"/>
      <c r="AM254" s="153"/>
      <c r="AN254" s="151"/>
      <c r="AO254" s="153"/>
      <c r="AP254" s="61">
        <f t="shared" si="41"/>
        <v>64136</v>
      </c>
      <c r="AQ254" s="75">
        <f t="shared" si="42"/>
        <v>84632</v>
      </c>
      <c r="AR254" s="150" t="s">
        <v>128</v>
      </c>
    </row>
    <row r="255" spans="1:44" ht="26.25" x14ac:dyDescent="0.25">
      <c r="A255" s="4" t="s">
        <v>201</v>
      </c>
      <c r="B255" s="4" t="s">
        <v>92</v>
      </c>
      <c r="C255" s="5" t="s">
        <v>93</v>
      </c>
      <c r="D255" s="151">
        <v>5344</v>
      </c>
      <c r="E255" s="153">
        <v>6435</v>
      </c>
      <c r="F255" s="151"/>
      <c r="G255" s="153"/>
      <c r="H255" s="151"/>
      <c r="I255" s="153"/>
      <c r="J255" s="151"/>
      <c r="K255" s="153"/>
      <c r="L255" s="151"/>
      <c r="M255" s="153"/>
      <c r="N255" s="151"/>
      <c r="O255" s="153"/>
      <c r="P255" s="151"/>
      <c r="Q255" s="153"/>
      <c r="R255" s="151"/>
      <c r="S255" s="153"/>
      <c r="T255" s="151"/>
      <c r="U255" s="153"/>
      <c r="V255" s="151"/>
      <c r="W255" s="153"/>
      <c r="X255" s="151"/>
      <c r="Y255" s="153"/>
      <c r="Z255" s="61">
        <f t="shared" si="39"/>
        <v>5344</v>
      </c>
      <c r="AA255" s="75">
        <f t="shared" si="40"/>
        <v>6435</v>
      </c>
      <c r="AB255" s="151"/>
      <c r="AC255" s="153"/>
      <c r="AD255" s="151"/>
      <c r="AE255" s="153"/>
      <c r="AF255" s="151"/>
      <c r="AG255" s="153"/>
      <c r="AH255" s="151"/>
      <c r="AI255" s="153"/>
      <c r="AJ255" s="151"/>
      <c r="AK255" s="153"/>
      <c r="AL255" s="151"/>
      <c r="AM255" s="153"/>
      <c r="AN255" s="151"/>
      <c r="AO255" s="153"/>
      <c r="AP255" s="61">
        <f t="shared" si="41"/>
        <v>5344</v>
      </c>
      <c r="AQ255" s="75">
        <f t="shared" si="42"/>
        <v>6435</v>
      </c>
      <c r="AR255" s="150" t="s">
        <v>128</v>
      </c>
    </row>
    <row r="256" spans="1:44" ht="26.25" x14ac:dyDescent="0.25">
      <c r="A256" s="4" t="s">
        <v>201</v>
      </c>
      <c r="B256" s="4" t="s">
        <v>84</v>
      </c>
      <c r="C256" s="5" t="s">
        <v>82</v>
      </c>
      <c r="D256" s="151">
        <v>18992</v>
      </c>
      <c r="E256" s="153">
        <v>23136</v>
      </c>
      <c r="F256" s="151"/>
      <c r="G256" s="153"/>
      <c r="H256" s="151"/>
      <c r="I256" s="153"/>
      <c r="J256" s="151"/>
      <c r="K256" s="153"/>
      <c r="L256" s="151"/>
      <c r="M256" s="153"/>
      <c r="N256" s="151"/>
      <c r="O256" s="153"/>
      <c r="P256" s="151"/>
      <c r="Q256" s="153"/>
      <c r="R256" s="151"/>
      <c r="S256" s="153"/>
      <c r="T256" s="151"/>
      <c r="U256" s="153"/>
      <c r="V256" s="151"/>
      <c r="W256" s="153"/>
      <c r="X256" s="151"/>
      <c r="Y256" s="153"/>
      <c r="Z256" s="61">
        <f t="shared" si="39"/>
        <v>18992</v>
      </c>
      <c r="AA256" s="75">
        <f t="shared" si="40"/>
        <v>23136</v>
      </c>
      <c r="AB256" s="151"/>
      <c r="AC256" s="153"/>
      <c r="AD256" s="151"/>
      <c r="AE256" s="153"/>
      <c r="AF256" s="151"/>
      <c r="AG256" s="153"/>
      <c r="AH256" s="151"/>
      <c r="AI256" s="153"/>
      <c r="AJ256" s="151"/>
      <c r="AK256" s="153"/>
      <c r="AL256" s="151"/>
      <c r="AM256" s="153"/>
      <c r="AN256" s="151"/>
      <c r="AO256" s="153"/>
      <c r="AP256" s="61">
        <f t="shared" si="41"/>
        <v>18992</v>
      </c>
      <c r="AQ256" s="75">
        <f t="shared" si="42"/>
        <v>23136</v>
      </c>
      <c r="AR256" s="150" t="s">
        <v>128</v>
      </c>
    </row>
    <row r="257" spans="1:44" ht="30" x14ac:dyDescent="0.25">
      <c r="A257" s="4" t="s">
        <v>201</v>
      </c>
      <c r="B257" s="4" t="s">
        <v>100</v>
      </c>
      <c r="C257" s="5" t="s">
        <v>101</v>
      </c>
      <c r="D257" s="151"/>
      <c r="E257" s="153"/>
      <c r="F257" s="151"/>
      <c r="G257" s="153"/>
      <c r="H257" s="151"/>
      <c r="I257" s="153"/>
      <c r="J257" s="151"/>
      <c r="K257" s="153"/>
      <c r="L257" s="151"/>
      <c r="M257" s="153"/>
      <c r="N257" s="151"/>
      <c r="O257" s="153"/>
      <c r="P257" s="151"/>
      <c r="Q257" s="153"/>
      <c r="R257" s="151"/>
      <c r="S257" s="153"/>
      <c r="T257" s="151"/>
      <c r="U257" s="153"/>
      <c r="V257" s="151"/>
      <c r="W257" s="153"/>
      <c r="X257" s="151"/>
      <c r="Y257" s="153"/>
      <c r="Z257" s="61">
        <f t="shared" si="39"/>
        <v>0</v>
      </c>
      <c r="AA257" s="75">
        <f t="shared" si="40"/>
        <v>0</v>
      </c>
      <c r="AB257" s="151"/>
      <c r="AC257" s="153"/>
      <c r="AD257" s="151"/>
      <c r="AE257" s="153"/>
      <c r="AF257" s="151"/>
      <c r="AG257" s="153"/>
      <c r="AH257" s="151"/>
      <c r="AI257" s="153"/>
      <c r="AJ257" s="151"/>
      <c r="AK257" s="153"/>
      <c r="AL257" s="151">
        <v>12368</v>
      </c>
      <c r="AM257" s="153">
        <v>12368</v>
      </c>
      <c r="AN257" s="151"/>
      <c r="AO257" s="153"/>
      <c r="AP257" s="61">
        <f t="shared" si="41"/>
        <v>12368</v>
      </c>
      <c r="AQ257" s="75">
        <f t="shared" si="42"/>
        <v>12368</v>
      </c>
      <c r="AR257" s="150" t="s">
        <v>102</v>
      </c>
    </row>
    <row r="258" spans="1:44" x14ac:dyDescent="0.25">
      <c r="A258" s="4" t="s">
        <v>201</v>
      </c>
      <c r="B258" s="4" t="s">
        <v>105</v>
      </c>
      <c r="C258" s="5"/>
      <c r="D258" s="151">
        <v>8868</v>
      </c>
      <c r="E258" s="153">
        <v>9865</v>
      </c>
      <c r="F258" s="151"/>
      <c r="G258" s="153"/>
      <c r="H258" s="151"/>
      <c r="I258" s="153"/>
      <c r="J258" s="151"/>
      <c r="K258" s="153"/>
      <c r="L258" s="151"/>
      <c r="M258" s="153"/>
      <c r="N258" s="151"/>
      <c r="O258" s="153"/>
      <c r="P258" s="151"/>
      <c r="Q258" s="153"/>
      <c r="R258" s="151"/>
      <c r="S258" s="153"/>
      <c r="T258" s="151"/>
      <c r="U258" s="153"/>
      <c r="V258" s="151"/>
      <c r="W258" s="153"/>
      <c r="X258" s="151"/>
      <c r="Y258" s="153"/>
      <c r="Z258" s="61">
        <f t="shared" si="39"/>
        <v>8868</v>
      </c>
      <c r="AA258" s="75">
        <f t="shared" si="40"/>
        <v>9865</v>
      </c>
      <c r="AB258" s="151"/>
      <c r="AC258" s="153"/>
      <c r="AD258" s="151"/>
      <c r="AE258" s="153"/>
      <c r="AF258" s="151"/>
      <c r="AG258" s="153"/>
      <c r="AH258" s="151"/>
      <c r="AI258" s="153"/>
      <c r="AJ258" s="151"/>
      <c r="AK258" s="153"/>
      <c r="AL258" s="151"/>
      <c r="AM258" s="153"/>
      <c r="AN258" s="151"/>
      <c r="AO258" s="153"/>
      <c r="AP258" s="61">
        <f t="shared" si="41"/>
        <v>8868</v>
      </c>
      <c r="AQ258" s="75">
        <f t="shared" si="42"/>
        <v>9865</v>
      </c>
      <c r="AR258" s="150" t="s">
        <v>58</v>
      </c>
    </row>
    <row r="259" spans="1:44" x14ac:dyDescent="0.25">
      <c r="A259" s="4" t="s">
        <v>201</v>
      </c>
      <c r="B259" s="4" t="s">
        <v>106</v>
      </c>
      <c r="C259" s="5"/>
      <c r="D259" s="151">
        <v>7876</v>
      </c>
      <c r="E259" s="153">
        <v>8811</v>
      </c>
      <c r="F259" s="151"/>
      <c r="G259" s="153"/>
      <c r="H259" s="151"/>
      <c r="I259" s="153"/>
      <c r="J259" s="151"/>
      <c r="K259" s="153"/>
      <c r="L259" s="151"/>
      <c r="M259" s="153"/>
      <c r="N259" s="151"/>
      <c r="O259" s="153"/>
      <c r="P259" s="151"/>
      <c r="Q259" s="153"/>
      <c r="R259" s="151"/>
      <c r="S259" s="153"/>
      <c r="T259" s="151"/>
      <c r="U259" s="153"/>
      <c r="V259" s="151"/>
      <c r="W259" s="153"/>
      <c r="X259" s="151"/>
      <c r="Y259" s="153"/>
      <c r="Z259" s="61">
        <f t="shared" si="39"/>
        <v>7876</v>
      </c>
      <c r="AA259" s="75">
        <f t="shared" si="40"/>
        <v>8811</v>
      </c>
      <c r="AB259" s="151"/>
      <c r="AC259" s="153"/>
      <c r="AD259" s="151"/>
      <c r="AE259" s="153"/>
      <c r="AF259" s="151"/>
      <c r="AG259" s="153"/>
      <c r="AH259" s="151"/>
      <c r="AI259" s="153"/>
      <c r="AJ259" s="151"/>
      <c r="AK259" s="153"/>
      <c r="AL259" s="151"/>
      <c r="AM259" s="153"/>
      <c r="AN259" s="151"/>
      <c r="AO259" s="153"/>
      <c r="AP259" s="61">
        <f t="shared" si="41"/>
        <v>7876</v>
      </c>
      <c r="AQ259" s="75">
        <f t="shared" si="42"/>
        <v>8811</v>
      </c>
      <c r="AR259" s="150" t="s">
        <v>58</v>
      </c>
    </row>
    <row r="260" spans="1:44" x14ac:dyDescent="0.25">
      <c r="A260" s="4" t="s">
        <v>201</v>
      </c>
      <c r="B260" s="11" t="s">
        <v>211</v>
      </c>
      <c r="C260" s="5" t="s">
        <v>101</v>
      </c>
      <c r="D260" s="151">
        <v>104012</v>
      </c>
      <c r="E260" s="153">
        <v>113500</v>
      </c>
      <c r="F260" s="151">
        <v>800</v>
      </c>
      <c r="G260" s="153">
        <v>750</v>
      </c>
      <c r="H260" s="151">
        <v>10200</v>
      </c>
      <c r="I260" s="153">
        <v>10200</v>
      </c>
      <c r="J260" s="151">
        <v>1300</v>
      </c>
      <c r="K260" s="153">
        <v>1300</v>
      </c>
      <c r="L260" s="151">
        <v>3000</v>
      </c>
      <c r="M260" s="153">
        <v>3600</v>
      </c>
      <c r="N260" s="151">
        <v>500</v>
      </c>
      <c r="O260" s="153">
        <v>550</v>
      </c>
      <c r="P260" s="151"/>
      <c r="Q260" s="153"/>
      <c r="R260" s="151">
        <v>1800</v>
      </c>
      <c r="S260" s="153">
        <v>1800</v>
      </c>
      <c r="T260" s="151">
        <v>22000</v>
      </c>
      <c r="U260" s="153">
        <v>22000</v>
      </c>
      <c r="V260" s="151"/>
      <c r="W260" s="153"/>
      <c r="X260" s="151"/>
      <c r="Y260" s="153"/>
      <c r="Z260" s="61">
        <f t="shared" si="39"/>
        <v>143612</v>
      </c>
      <c r="AA260" s="75">
        <f t="shared" si="40"/>
        <v>153700</v>
      </c>
      <c r="AB260" s="151">
        <v>40</v>
      </c>
      <c r="AC260" s="153">
        <v>40</v>
      </c>
      <c r="AD260" s="151">
        <v>5980</v>
      </c>
      <c r="AE260" s="153">
        <v>4580</v>
      </c>
      <c r="AF260" s="151">
        <v>14245</v>
      </c>
      <c r="AG260" s="153">
        <v>14630</v>
      </c>
      <c r="AH260" s="151"/>
      <c r="AI260" s="153"/>
      <c r="AJ260" s="151"/>
      <c r="AK260" s="153"/>
      <c r="AL260" s="151"/>
      <c r="AM260" s="153"/>
      <c r="AN260" s="151"/>
      <c r="AO260" s="153"/>
      <c r="AP260" s="61">
        <f t="shared" si="41"/>
        <v>163877</v>
      </c>
      <c r="AQ260" s="75">
        <f t="shared" si="42"/>
        <v>172950</v>
      </c>
      <c r="AR260" s="150" t="s">
        <v>212</v>
      </c>
    </row>
    <row r="261" spans="1:44" x14ac:dyDescent="0.25">
      <c r="A261" s="16" t="s">
        <v>213</v>
      </c>
      <c r="B261" s="16" t="s">
        <v>108</v>
      </c>
      <c r="C261" s="17"/>
      <c r="D261" s="18">
        <f t="shared" ref="D261:AQ261" si="43">SUM(D230:D260)</f>
        <v>536762</v>
      </c>
      <c r="E261" s="105">
        <f t="shared" si="43"/>
        <v>605920</v>
      </c>
      <c r="F261" s="18">
        <f t="shared" si="43"/>
        <v>3491</v>
      </c>
      <c r="G261" s="18">
        <f>SUM(G230:G260)</f>
        <v>3385</v>
      </c>
      <c r="H261" s="18">
        <f t="shared" si="43"/>
        <v>39782</v>
      </c>
      <c r="I261" s="18">
        <f t="shared" si="43"/>
        <v>36162</v>
      </c>
      <c r="J261" s="18">
        <f t="shared" si="43"/>
        <v>4116</v>
      </c>
      <c r="K261" s="18">
        <f t="shared" si="43"/>
        <v>4616</v>
      </c>
      <c r="L261" s="18">
        <f t="shared" si="43"/>
        <v>23136</v>
      </c>
      <c r="M261" s="18">
        <f t="shared" si="43"/>
        <v>25386</v>
      </c>
      <c r="N261" s="18">
        <f t="shared" si="43"/>
        <v>2405</v>
      </c>
      <c r="O261" s="18">
        <f t="shared" si="43"/>
        <v>2735</v>
      </c>
      <c r="P261" s="18">
        <f t="shared" si="43"/>
        <v>4200</v>
      </c>
      <c r="Q261" s="18">
        <f t="shared" si="43"/>
        <v>4200</v>
      </c>
      <c r="R261" s="18">
        <f t="shared" si="43"/>
        <v>23955</v>
      </c>
      <c r="S261" s="18">
        <f t="shared" si="43"/>
        <v>23735</v>
      </c>
      <c r="T261" s="18">
        <f t="shared" si="43"/>
        <v>37291</v>
      </c>
      <c r="U261" s="18">
        <f t="shared" si="43"/>
        <v>37921</v>
      </c>
      <c r="V261" s="18">
        <f t="shared" si="43"/>
        <v>17803</v>
      </c>
      <c r="W261" s="18">
        <f t="shared" si="43"/>
        <v>18100</v>
      </c>
      <c r="X261" s="18">
        <f t="shared" si="43"/>
        <v>0</v>
      </c>
      <c r="Y261" s="18">
        <f t="shared" si="43"/>
        <v>0</v>
      </c>
      <c r="Z261" s="18">
        <f t="shared" si="43"/>
        <v>692941</v>
      </c>
      <c r="AA261" s="18">
        <f t="shared" si="43"/>
        <v>762160</v>
      </c>
      <c r="AB261" s="18">
        <f t="shared" si="43"/>
        <v>255</v>
      </c>
      <c r="AC261" s="18">
        <f t="shared" si="43"/>
        <v>70</v>
      </c>
      <c r="AD261" s="18">
        <f t="shared" si="43"/>
        <v>83240</v>
      </c>
      <c r="AE261" s="18">
        <f t="shared" si="43"/>
        <v>81969</v>
      </c>
      <c r="AF261" s="18">
        <f t="shared" si="43"/>
        <v>56272</v>
      </c>
      <c r="AG261" s="18">
        <f t="shared" si="43"/>
        <v>51705</v>
      </c>
      <c r="AH261" s="18">
        <f t="shared" si="43"/>
        <v>2391</v>
      </c>
      <c r="AI261" s="18">
        <f t="shared" si="43"/>
        <v>2358</v>
      </c>
      <c r="AJ261" s="18">
        <f t="shared" si="43"/>
        <v>0</v>
      </c>
      <c r="AK261" s="18">
        <f t="shared" si="43"/>
        <v>0</v>
      </c>
      <c r="AL261" s="18">
        <f t="shared" si="43"/>
        <v>12368</v>
      </c>
      <c r="AM261" s="18">
        <f t="shared" si="43"/>
        <v>12368</v>
      </c>
      <c r="AN261" s="18">
        <f t="shared" si="43"/>
        <v>0</v>
      </c>
      <c r="AO261" s="18">
        <f t="shared" si="43"/>
        <v>0</v>
      </c>
      <c r="AP261" s="18">
        <f t="shared" si="43"/>
        <v>847467</v>
      </c>
      <c r="AQ261" s="18">
        <f t="shared" si="43"/>
        <v>910630</v>
      </c>
      <c r="AR261" s="150"/>
    </row>
    <row r="262" spans="1:44" x14ac:dyDescent="0.25">
      <c r="A262" s="4" t="s">
        <v>214</v>
      </c>
      <c r="B262" s="4" t="s">
        <v>56</v>
      </c>
      <c r="C262" s="5" t="s">
        <v>57</v>
      </c>
      <c r="D262" s="151">
        <v>25649</v>
      </c>
      <c r="E262" s="153">
        <v>24056</v>
      </c>
      <c r="F262" s="151">
        <v>1280</v>
      </c>
      <c r="G262" s="153">
        <v>1280</v>
      </c>
      <c r="H262" s="151"/>
      <c r="I262" s="153"/>
      <c r="J262" s="151">
        <v>310</v>
      </c>
      <c r="K262" s="153">
        <v>285</v>
      </c>
      <c r="L262" s="151">
        <v>2480</v>
      </c>
      <c r="M262" s="153">
        <v>4680</v>
      </c>
      <c r="N262" s="151">
        <v>262</v>
      </c>
      <c r="O262" s="153">
        <v>262</v>
      </c>
      <c r="P262" s="151">
        <v>4385</v>
      </c>
      <c r="Q262" s="153">
        <v>4035</v>
      </c>
      <c r="R262" s="151">
        <v>710</v>
      </c>
      <c r="S262" s="153">
        <v>290</v>
      </c>
      <c r="T262" s="151"/>
      <c r="U262" s="153"/>
      <c r="V262" s="151"/>
      <c r="W262" s="153"/>
      <c r="X262" s="151"/>
      <c r="Y262" s="153"/>
      <c r="Z262" s="61">
        <f t="shared" ref="Z262:Z286" si="44">D262+F262+H262+J262+L262+P262+R262+T262+V262+X262+N262</f>
        <v>35076</v>
      </c>
      <c r="AA262" s="75">
        <f t="shared" ref="AA262:AA286" si="45">E262+G262+I262+K262+M262+Q262+S262+U262+W262+Y262+O262</f>
        <v>34888</v>
      </c>
      <c r="AB262" s="151">
        <v>50</v>
      </c>
      <c r="AC262" s="153"/>
      <c r="AD262" s="151">
        <v>4900</v>
      </c>
      <c r="AE262" s="153">
        <v>4260</v>
      </c>
      <c r="AF262" s="151">
        <v>2100</v>
      </c>
      <c r="AG262" s="153">
        <v>2100</v>
      </c>
      <c r="AH262" s="151"/>
      <c r="AI262" s="153"/>
      <c r="AJ262" s="151"/>
      <c r="AK262" s="153"/>
      <c r="AL262" s="151"/>
      <c r="AM262" s="153"/>
      <c r="AN262" s="151"/>
      <c r="AO262" s="153">
        <v>130</v>
      </c>
      <c r="AP262" s="61">
        <f t="shared" ref="AP262:AP286" si="46">Z262+AB262+AD262+AF262+AH262+AJ262+AL262+AN262</f>
        <v>42126</v>
      </c>
      <c r="AQ262" s="75">
        <f t="shared" ref="AQ262:AQ286" si="47">AA262+AC262+AE262+AG262+AI262+AK262+AM262+AO262</f>
        <v>41378</v>
      </c>
      <c r="AR262" s="150" t="s">
        <v>58</v>
      </c>
    </row>
    <row r="263" spans="1:44" x14ac:dyDescent="0.25">
      <c r="A263" s="4" t="s">
        <v>214</v>
      </c>
      <c r="B263" s="4" t="s">
        <v>98</v>
      </c>
      <c r="C263" s="5" t="s">
        <v>99</v>
      </c>
      <c r="D263" s="151"/>
      <c r="E263" s="153"/>
      <c r="F263" s="151"/>
      <c r="G263" s="153"/>
      <c r="H263" s="151"/>
      <c r="I263" s="153"/>
      <c r="J263" s="151"/>
      <c r="K263" s="153"/>
      <c r="L263" s="151"/>
      <c r="M263" s="153"/>
      <c r="N263" s="151"/>
      <c r="O263" s="153"/>
      <c r="P263" s="151"/>
      <c r="Q263" s="153"/>
      <c r="R263" s="151">
        <v>200</v>
      </c>
      <c r="S263" s="153">
        <v>180</v>
      </c>
      <c r="T263" s="151"/>
      <c r="U263" s="153"/>
      <c r="V263" s="151"/>
      <c r="W263" s="153"/>
      <c r="X263" s="151"/>
      <c r="Y263" s="153"/>
      <c r="Z263" s="61">
        <f t="shared" si="44"/>
        <v>200</v>
      </c>
      <c r="AA263" s="75">
        <f t="shared" si="45"/>
        <v>180</v>
      </c>
      <c r="AB263" s="151"/>
      <c r="AC263" s="153"/>
      <c r="AD263" s="151">
        <v>100</v>
      </c>
      <c r="AE263" s="153">
        <v>95</v>
      </c>
      <c r="AF263" s="151">
        <v>100</v>
      </c>
      <c r="AG263" s="153">
        <v>95</v>
      </c>
      <c r="AH263" s="151"/>
      <c r="AI263" s="153"/>
      <c r="AJ263" s="151"/>
      <c r="AK263" s="153"/>
      <c r="AL263" s="151"/>
      <c r="AM263" s="153"/>
      <c r="AN263" s="151"/>
      <c r="AO263" s="153"/>
      <c r="AP263" s="61">
        <f t="shared" si="46"/>
        <v>400</v>
      </c>
      <c r="AQ263" s="75">
        <f t="shared" si="47"/>
        <v>370</v>
      </c>
      <c r="AR263" s="150" t="s">
        <v>58</v>
      </c>
    </row>
    <row r="264" spans="1:44" x14ac:dyDescent="0.25">
      <c r="A264" s="4" t="s">
        <v>214</v>
      </c>
      <c r="B264" s="4" t="s">
        <v>118</v>
      </c>
      <c r="C264" s="8" t="s">
        <v>119</v>
      </c>
      <c r="D264" s="151">
        <v>259859</v>
      </c>
      <c r="E264" s="153">
        <v>293857</v>
      </c>
      <c r="F264" s="151">
        <v>1750</v>
      </c>
      <c r="G264" s="153">
        <v>1750</v>
      </c>
      <c r="H264" s="43">
        <v>7033</v>
      </c>
      <c r="I264" s="153">
        <v>11821</v>
      </c>
      <c r="J264" s="151">
        <v>7700</v>
      </c>
      <c r="K264" s="153">
        <v>7700</v>
      </c>
      <c r="L264" s="151">
        <v>18700</v>
      </c>
      <c r="M264" s="153">
        <v>14700</v>
      </c>
      <c r="N264" s="151">
        <v>2196</v>
      </c>
      <c r="O264" s="153">
        <v>2196</v>
      </c>
      <c r="P264" s="151"/>
      <c r="Q264" s="153"/>
      <c r="R264" s="151">
        <v>5160</v>
      </c>
      <c r="S264" s="153">
        <v>4902</v>
      </c>
      <c r="T264" s="151">
        <v>43441</v>
      </c>
      <c r="U264" s="153">
        <v>48649</v>
      </c>
      <c r="V264" s="151"/>
      <c r="W264" s="153"/>
      <c r="X264" s="151"/>
      <c r="Y264" s="153"/>
      <c r="Z264" s="61">
        <f t="shared" si="44"/>
        <v>345839</v>
      </c>
      <c r="AA264" s="75">
        <f t="shared" si="45"/>
        <v>385575</v>
      </c>
      <c r="AB264" s="151">
        <v>100</v>
      </c>
      <c r="AC264" s="153"/>
      <c r="AD264" s="151">
        <v>24930</v>
      </c>
      <c r="AE264" s="153">
        <v>23893</v>
      </c>
      <c r="AF264" s="151">
        <v>38845</v>
      </c>
      <c r="AG264" s="153">
        <v>41000</v>
      </c>
      <c r="AH264" s="151"/>
      <c r="AI264" s="153"/>
      <c r="AJ264" s="151"/>
      <c r="AK264" s="153"/>
      <c r="AL264" s="151"/>
      <c r="AM264" s="153"/>
      <c r="AN264" s="151"/>
      <c r="AO264" s="153"/>
      <c r="AP264" s="61">
        <f t="shared" si="46"/>
        <v>409714</v>
      </c>
      <c r="AQ264" s="75">
        <f t="shared" si="47"/>
        <v>450468</v>
      </c>
      <c r="AR264" s="150" t="s">
        <v>193</v>
      </c>
    </row>
    <row r="265" spans="1:44" ht="39" x14ac:dyDescent="0.25">
      <c r="A265" s="4" t="s">
        <v>214</v>
      </c>
      <c r="B265" s="4" t="s">
        <v>120</v>
      </c>
      <c r="C265" s="8" t="s">
        <v>119</v>
      </c>
      <c r="D265" s="151">
        <v>15680</v>
      </c>
      <c r="E265" s="153">
        <v>15680</v>
      </c>
      <c r="F265" s="151"/>
      <c r="G265" s="153"/>
      <c r="H265" s="151"/>
      <c r="I265" s="153"/>
      <c r="J265" s="151"/>
      <c r="K265" s="153"/>
      <c r="L265" s="151"/>
      <c r="M265" s="153"/>
      <c r="N265" s="151"/>
      <c r="O265" s="153"/>
      <c r="P265" s="151"/>
      <c r="Q265" s="153"/>
      <c r="R265" s="151"/>
      <c r="S265" s="153"/>
      <c r="T265" s="151"/>
      <c r="U265" s="153"/>
      <c r="V265" s="151"/>
      <c r="W265" s="153"/>
      <c r="X265" s="151"/>
      <c r="Y265" s="153"/>
      <c r="Z265" s="61">
        <f t="shared" si="44"/>
        <v>15680</v>
      </c>
      <c r="AA265" s="75">
        <f t="shared" si="45"/>
        <v>15680</v>
      </c>
      <c r="AB265" s="151"/>
      <c r="AC265" s="153"/>
      <c r="AD265" s="151"/>
      <c r="AE265" s="153"/>
      <c r="AF265" s="151"/>
      <c r="AG265" s="153"/>
      <c r="AH265" s="151"/>
      <c r="AI265" s="153"/>
      <c r="AJ265" s="151"/>
      <c r="AK265" s="153"/>
      <c r="AL265" s="151"/>
      <c r="AM265" s="153"/>
      <c r="AN265" s="151"/>
      <c r="AO265" s="153"/>
      <c r="AP265" s="61">
        <f t="shared" si="46"/>
        <v>15680</v>
      </c>
      <c r="AQ265" s="75">
        <f t="shared" si="47"/>
        <v>15680</v>
      </c>
      <c r="AR265" s="150" t="s">
        <v>193</v>
      </c>
    </row>
    <row r="266" spans="1:44" ht="26.25" x14ac:dyDescent="0.25">
      <c r="A266" s="4" t="s">
        <v>214</v>
      </c>
      <c r="B266" s="4" t="s">
        <v>121</v>
      </c>
      <c r="C266" s="8" t="s">
        <v>119</v>
      </c>
      <c r="D266" s="151">
        <v>8591</v>
      </c>
      <c r="E266" s="153">
        <v>8591</v>
      </c>
      <c r="F266" s="151"/>
      <c r="G266" s="153"/>
      <c r="H266" s="151"/>
      <c r="I266" s="153"/>
      <c r="J266" s="151"/>
      <c r="K266" s="153"/>
      <c r="L266" s="151"/>
      <c r="M266" s="153"/>
      <c r="N266" s="151"/>
      <c r="O266" s="153"/>
      <c r="P266" s="151"/>
      <c r="Q266" s="153"/>
      <c r="R266" s="151"/>
      <c r="S266" s="153"/>
      <c r="T266" s="151"/>
      <c r="U266" s="153"/>
      <c r="V266" s="151"/>
      <c r="W266" s="153"/>
      <c r="X266" s="151"/>
      <c r="Y266" s="153"/>
      <c r="Z266" s="61">
        <f t="shared" si="44"/>
        <v>8591</v>
      </c>
      <c r="AA266" s="75">
        <f t="shared" si="45"/>
        <v>8591</v>
      </c>
      <c r="AB266" s="151"/>
      <c r="AC266" s="153"/>
      <c r="AD266" s="151"/>
      <c r="AE266" s="153"/>
      <c r="AF266" s="151"/>
      <c r="AG266" s="153"/>
      <c r="AH266" s="151"/>
      <c r="AI266" s="153"/>
      <c r="AJ266" s="151"/>
      <c r="AK266" s="153"/>
      <c r="AL266" s="151"/>
      <c r="AM266" s="153"/>
      <c r="AN266" s="151"/>
      <c r="AO266" s="153"/>
      <c r="AP266" s="61">
        <f t="shared" si="46"/>
        <v>8591</v>
      </c>
      <c r="AQ266" s="75">
        <f t="shared" si="47"/>
        <v>8591</v>
      </c>
      <c r="AR266" s="150" t="s">
        <v>193</v>
      </c>
    </row>
    <row r="267" spans="1:44" ht="26.25" x14ac:dyDescent="0.25">
      <c r="A267" s="4" t="s">
        <v>214</v>
      </c>
      <c r="B267" s="4" t="s">
        <v>215</v>
      </c>
      <c r="C267" s="8" t="s">
        <v>119</v>
      </c>
      <c r="D267" s="151"/>
      <c r="E267" s="153"/>
      <c r="F267" s="151"/>
      <c r="G267" s="153"/>
      <c r="H267" s="151"/>
      <c r="I267" s="153"/>
      <c r="J267" s="151"/>
      <c r="K267" s="153"/>
      <c r="L267" s="151"/>
      <c r="M267" s="153"/>
      <c r="N267" s="151"/>
      <c r="O267" s="153"/>
      <c r="P267" s="151"/>
      <c r="Q267" s="153"/>
      <c r="R267" s="151"/>
      <c r="S267" s="153"/>
      <c r="T267" s="151">
        <v>820</v>
      </c>
      <c r="U267" s="153">
        <v>1430</v>
      </c>
      <c r="V267" s="151"/>
      <c r="W267" s="153"/>
      <c r="X267" s="151"/>
      <c r="Y267" s="153"/>
      <c r="Z267" s="61">
        <f t="shared" si="44"/>
        <v>820</v>
      </c>
      <c r="AA267" s="75">
        <f t="shared" si="45"/>
        <v>1430</v>
      </c>
      <c r="AB267" s="151"/>
      <c r="AC267" s="153"/>
      <c r="AD267" s="151"/>
      <c r="AE267" s="153"/>
      <c r="AF267" s="151"/>
      <c r="AG267" s="153"/>
      <c r="AH267" s="151"/>
      <c r="AI267" s="153"/>
      <c r="AJ267" s="151"/>
      <c r="AK267" s="153"/>
      <c r="AL267" s="151"/>
      <c r="AM267" s="153"/>
      <c r="AN267" s="151"/>
      <c r="AO267" s="153"/>
      <c r="AP267" s="61">
        <f t="shared" si="46"/>
        <v>820</v>
      </c>
      <c r="AQ267" s="75">
        <f t="shared" si="47"/>
        <v>1430</v>
      </c>
      <c r="AR267" s="150" t="s">
        <v>193</v>
      </c>
    </row>
    <row r="268" spans="1:44" ht="26.25" x14ac:dyDescent="0.25">
      <c r="A268" s="4" t="s">
        <v>214</v>
      </c>
      <c r="B268" s="4" t="s">
        <v>65</v>
      </c>
      <c r="C268" s="5" t="s">
        <v>60</v>
      </c>
      <c r="D268" s="151">
        <v>74888</v>
      </c>
      <c r="E268" s="153">
        <v>71484</v>
      </c>
      <c r="F268" s="151">
        <v>10</v>
      </c>
      <c r="G268" s="153">
        <v>0</v>
      </c>
      <c r="H268" s="151"/>
      <c r="I268" s="153"/>
      <c r="J268" s="151">
        <v>360</v>
      </c>
      <c r="K268" s="153">
        <v>0</v>
      </c>
      <c r="L268" s="151">
        <v>2720</v>
      </c>
      <c r="M268" s="153">
        <v>0</v>
      </c>
      <c r="N268" s="151">
        <v>540</v>
      </c>
      <c r="O268" s="153">
        <v>480</v>
      </c>
      <c r="P268" s="151">
        <v>4066</v>
      </c>
      <c r="Q268" s="153">
        <v>0</v>
      </c>
      <c r="R268" s="151">
        <v>3220</v>
      </c>
      <c r="S268" s="153">
        <v>2900</v>
      </c>
      <c r="T268" s="151"/>
      <c r="U268" s="153"/>
      <c r="V268" s="151"/>
      <c r="W268" s="153"/>
      <c r="X268" s="151"/>
      <c r="Y268" s="153"/>
      <c r="Z268" s="61">
        <f t="shared" si="44"/>
        <v>85804</v>
      </c>
      <c r="AA268" s="75">
        <f t="shared" si="45"/>
        <v>74864</v>
      </c>
      <c r="AB268" s="151"/>
      <c r="AC268" s="153"/>
      <c r="AD268" s="151">
        <v>6070</v>
      </c>
      <c r="AE268" s="153">
        <v>4700</v>
      </c>
      <c r="AF268" s="151">
        <v>4510</v>
      </c>
      <c r="AG268" s="153">
        <v>4400</v>
      </c>
      <c r="AH268" s="151"/>
      <c r="AI268" s="153"/>
      <c r="AJ268" s="151"/>
      <c r="AK268" s="153"/>
      <c r="AL268" s="151"/>
      <c r="AM268" s="153"/>
      <c r="AN268" s="151">
        <v>270</v>
      </c>
      <c r="AO268" s="153">
        <v>264</v>
      </c>
      <c r="AP268" s="61">
        <f t="shared" si="46"/>
        <v>96654</v>
      </c>
      <c r="AQ268" s="75">
        <f t="shared" si="47"/>
        <v>84228</v>
      </c>
      <c r="AR268" s="150" t="s">
        <v>61</v>
      </c>
    </row>
    <row r="269" spans="1:44" ht="51.75" x14ac:dyDescent="0.25">
      <c r="A269" s="4" t="s">
        <v>214</v>
      </c>
      <c r="B269" s="4" t="s">
        <v>216</v>
      </c>
      <c r="C269" s="5" t="s">
        <v>60</v>
      </c>
      <c r="D269" s="151">
        <v>3200</v>
      </c>
      <c r="E269" s="153"/>
      <c r="F269" s="151"/>
      <c r="G269" s="153"/>
      <c r="H269" s="151"/>
      <c r="I269" s="153"/>
      <c r="J269" s="151"/>
      <c r="K269" s="153"/>
      <c r="L269" s="151"/>
      <c r="M269" s="153"/>
      <c r="N269" s="151"/>
      <c r="O269" s="153"/>
      <c r="P269" s="151"/>
      <c r="Q269" s="153"/>
      <c r="R269" s="151"/>
      <c r="S269" s="153"/>
      <c r="T269" s="151"/>
      <c r="U269" s="153"/>
      <c r="V269" s="151"/>
      <c r="W269" s="153"/>
      <c r="X269" s="151"/>
      <c r="Y269" s="153"/>
      <c r="Z269" s="61">
        <f t="shared" si="44"/>
        <v>3200</v>
      </c>
      <c r="AA269" s="75">
        <f t="shared" si="45"/>
        <v>0</v>
      </c>
      <c r="AB269" s="151"/>
      <c r="AC269" s="153"/>
      <c r="AD269" s="151"/>
      <c r="AE269" s="153"/>
      <c r="AF269" s="151"/>
      <c r="AG269" s="153"/>
      <c r="AH269" s="151"/>
      <c r="AI269" s="153"/>
      <c r="AJ269" s="151"/>
      <c r="AK269" s="153"/>
      <c r="AL269" s="151"/>
      <c r="AM269" s="153"/>
      <c r="AN269" s="151"/>
      <c r="AO269" s="153"/>
      <c r="AP269" s="61">
        <f t="shared" si="46"/>
        <v>3200</v>
      </c>
      <c r="AQ269" s="75">
        <f t="shared" si="47"/>
        <v>0</v>
      </c>
      <c r="AR269" s="150" t="s">
        <v>167</v>
      </c>
    </row>
    <row r="270" spans="1:44" x14ac:dyDescent="0.25">
      <c r="A270" s="4" t="s">
        <v>214</v>
      </c>
      <c r="B270" s="4" t="s">
        <v>217</v>
      </c>
      <c r="C270" s="5" t="s">
        <v>165</v>
      </c>
      <c r="D270" s="151"/>
      <c r="E270" s="153"/>
      <c r="F270" s="151"/>
      <c r="G270" s="153"/>
      <c r="H270" s="151"/>
      <c r="I270" s="153"/>
      <c r="J270" s="151"/>
      <c r="K270" s="153"/>
      <c r="L270" s="151"/>
      <c r="M270" s="153"/>
      <c r="N270" s="151"/>
      <c r="O270" s="153"/>
      <c r="P270" s="151"/>
      <c r="Q270" s="153"/>
      <c r="R270" s="151"/>
      <c r="S270" s="153"/>
      <c r="T270" s="151"/>
      <c r="U270" s="153"/>
      <c r="V270" s="151"/>
      <c r="W270" s="153"/>
      <c r="X270" s="151"/>
      <c r="Y270" s="153"/>
      <c r="Z270" s="61">
        <f t="shared" si="44"/>
        <v>0</v>
      </c>
      <c r="AA270" s="75">
        <f t="shared" si="45"/>
        <v>0</v>
      </c>
      <c r="AB270" s="151"/>
      <c r="AC270" s="153"/>
      <c r="AD270" s="151"/>
      <c r="AE270" s="153"/>
      <c r="AF270" s="151">
        <v>2980</v>
      </c>
      <c r="AG270" s="153">
        <v>2980</v>
      </c>
      <c r="AH270" s="151"/>
      <c r="AI270" s="153"/>
      <c r="AJ270" s="151"/>
      <c r="AK270" s="153"/>
      <c r="AL270" s="151"/>
      <c r="AM270" s="153"/>
      <c r="AN270" s="151"/>
      <c r="AO270" s="153"/>
      <c r="AP270" s="61">
        <f t="shared" si="46"/>
        <v>2980</v>
      </c>
      <c r="AQ270" s="75">
        <f t="shared" si="47"/>
        <v>2980</v>
      </c>
      <c r="AR270" s="150" t="s">
        <v>167</v>
      </c>
    </row>
    <row r="271" spans="1:44" x14ac:dyDescent="0.25">
      <c r="A271" s="4" t="s">
        <v>214</v>
      </c>
      <c r="B271" s="4" t="s">
        <v>218</v>
      </c>
      <c r="C271" s="5" t="s">
        <v>165</v>
      </c>
      <c r="D271" s="151"/>
      <c r="E271" s="153"/>
      <c r="F271" s="151"/>
      <c r="G271" s="153"/>
      <c r="H271" s="43">
        <v>7980</v>
      </c>
      <c r="I271" s="153">
        <v>9065</v>
      </c>
      <c r="J271" s="151">
        <v>300</v>
      </c>
      <c r="K271" s="153"/>
      <c r="L271" s="151">
        <v>1600</v>
      </c>
      <c r="M271" s="153">
        <v>1600</v>
      </c>
      <c r="N271" s="151"/>
      <c r="O271" s="153"/>
      <c r="P271" s="151"/>
      <c r="Q271" s="153"/>
      <c r="R271" s="151"/>
      <c r="S271" s="153"/>
      <c r="T271" s="151"/>
      <c r="U271" s="153"/>
      <c r="V271" s="151"/>
      <c r="W271" s="153"/>
      <c r="X271" s="151"/>
      <c r="Y271" s="153"/>
      <c r="Z271" s="61">
        <f t="shared" si="44"/>
        <v>9880</v>
      </c>
      <c r="AA271" s="75">
        <f t="shared" si="45"/>
        <v>10665</v>
      </c>
      <c r="AB271" s="151"/>
      <c r="AC271" s="153"/>
      <c r="AD271" s="151"/>
      <c r="AE271" s="153"/>
      <c r="AF271" s="151"/>
      <c r="AG271" s="153"/>
      <c r="AH271" s="151"/>
      <c r="AI271" s="153"/>
      <c r="AJ271" s="151"/>
      <c r="AK271" s="153"/>
      <c r="AL271" s="151"/>
      <c r="AM271" s="153"/>
      <c r="AN271" s="151"/>
      <c r="AO271" s="153"/>
      <c r="AP271" s="61">
        <f t="shared" si="46"/>
        <v>9880</v>
      </c>
      <c r="AQ271" s="75">
        <f t="shared" si="47"/>
        <v>10665</v>
      </c>
      <c r="AR271" s="150" t="s">
        <v>186</v>
      </c>
    </row>
    <row r="272" spans="1:44" x14ac:dyDescent="0.25">
      <c r="A272" s="4" t="s">
        <v>214</v>
      </c>
      <c r="B272" s="4" t="s">
        <v>219</v>
      </c>
      <c r="C272" s="5" t="s">
        <v>220</v>
      </c>
      <c r="D272" s="151"/>
      <c r="E272" s="153"/>
      <c r="F272" s="151"/>
      <c r="G272" s="153"/>
      <c r="H272" s="62"/>
      <c r="I272" s="153"/>
      <c r="J272" s="151"/>
      <c r="K272" s="153"/>
      <c r="L272" s="151"/>
      <c r="M272" s="153"/>
      <c r="N272" s="151"/>
      <c r="O272" s="153"/>
      <c r="P272" s="151"/>
      <c r="Q272" s="153"/>
      <c r="R272" s="151"/>
      <c r="S272" s="153"/>
      <c r="T272" s="151"/>
      <c r="U272" s="153"/>
      <c r="V272" s="151"/>
      <c r="W272" s="153"/>
      <c r="X272" s="151"/>
      <c r="Y272" s="153"/>
      <c r="Z272" s="61">
        <f t="shared" si="44"/>
        <v>0</v>
      </c>
      <c r="AA272" s="75">
        <f t="shared" si="45"/>
        <v>0</v>
      </c>
      <c r="AB272" s="151"/>
      <c r="AC272" s="153"/>
      <c r="AD272" s="151">
        <v>1280</v>
      </c>
      <c r="AE272" s="153">
        <v>0</v>
      </c>
      <c r="AF272" s="151"/>
      <c r="AG272" s="153"/>
      <c r="AH272" s="151"/>
      <c r="AI272" s="153"/>
      <c r="AJ272" s="151"/>
      <c r="AK272" s="153"/>
      <c r="AL272" s="151"/>
      <c r="AM272" s="153"/>
      <c r="AN272" s="151"/>
      <c r="AO272" s="153"/>
      <c r="AP272" s="61">
        <f t="shared" si="46"/>
        <v>1280</v>
      </c>
      <c r="AQ272" s="75">
        <f t="shared" si="47"/>
        <v>0</v>
      </c>
      <c r="AR272" s="150" t="s">
        <v>221</v>
      </c>
    </row>
    <row r="273" spans="1:44" ht="26.25" x14ac:dyDescent="0.25">
      <c r="A273" s="4" t="s">
        <v>214</v>
      </c>
      <c r="B273" s="4" t="s">
        <v>62</v>
      </c>
      <c r="C273" s="5" t="s">
        <v>60</v>
      </c>
      <c r="D273" s="151"/>
      <c r="E273" s="153"/>
      <c r="F273" s="151"/>
      <c r="G273" s="153"/>
      <c r="H273" s="151"/>
      <c r="I273" s="153"/>
      <c r="J273" s="151"/>
      <c r="K273" s="153"/>
      <c r="L273" s="151"/>
      <c r="M273" s="153"/>
      <c r="N273" s="151"/>
      <c r="O273" s="153"/>
      <c r="P273" s="151"/>
      <c r="Q273" s="153"/>
      <c r="R273" s="151"/>
      <c r="S273" s="153"/>
      <c r="T273" s="151"/>
      <c r="U273" s="153"/>
      <c r="V273" s="151"/>
      <c r="W273" s="153"/>
      <c r="X273" s="151"/>
      <c r="Y273" s="153"/>
      <c r="Z273" s="61">
        <f t="shared" si="44"/>
        <v>0</v>
      </c>
      <c r="AA273" s="75">
        <f t="shared" si="45"/>
        <v>0</v>
      </c>
      <c r="AB273" s="151"/>
      <c r="AC273" s="153"/>
      <c r="AD273" s="143">
        <v>12357</v>
      </c>
      <c r="AE273" s="153">
        <f>14928-AG273</f>
        <v>12928</v>
      </c>
      <c r="AF273" s="151">
        <v>2000</v>
      </c>
      <c r="AG273" s="153">
        <v>2000</v>
      </c>
      <c r="AH273" s="151"/>
      <c r="AI273" s="153"/>
      <c r="AJ273" s="151"/>
      <c r="AK273" s="153"/>
      <c r="AL273" s="151"/>
      <c r="AM273" s="153"/>
      <c r="AN273" s="151"/>
      <c r="AO273" s="153"/>
      <c r="AP273" s="61">
        <f t="shared" si="46"/>
        <v>14357</v>
      </c>
      <c r="AQ273" s="75">
        <f t="shared" si="47"/>
        <v>14928</v>
      </c>
      <c r="AR273" s="150" t="s">
        <v>171</v>
      </c>
    </row>
    <row r="274" spans="1:44" x14ac:dyDescent="0.25">
      <c r="A274" s="4" t="s">
        <v>214</v>
      </c>
      <c r="B274" s="4" t="s">
        <v>64</v>
      </c>
      <c r="C274" s="5" t="s">
        <v>60</v>
      </c>
      <c r="D274" s="151"/>
      <c r="E274" s="153"/>
      <c r="F274" s="151"/>
      <c r="G274" s="153"/>
      <c r="H274" s="151"/>
      <c r="I274" s="153"/>
      <c r="J274" s="151"/>
      <c r="K274" s="153"/>
      <c r="L274" s="151"/>
      <c r="M274" s="153"/>
      <c r="N274" s="151"/>
      <c r="O274" s="153"/>
      <c r="P274" s="151"/>
      <c r="Q274" s="153"/>
      <c r="R274" s="151"/>
      <c r="S274" s="153"/>
      <c r="T274" s="151"/>
      <c r="U274" s="153"/>
      <c r="V274" s="151"/>
      <c r="W274" s="153"/>
      <c r="X274" s="151"/>
      <c r="Y274" s="153"/>
      <c r="Z274" s="61">
        <f t="shared" si="44"/>
        <v>0</v>
      </c>
      <c r="AA274" s="75">
        <f t="shared" si="45"/>
        <v>0</v>
      </c>
      <c r="AB274" s="151"/>
      <c r="AC274" s="153"/>
      <c r="AD274" s="143">
        <v>22983</v>
      </c>
      <c r="AE274" s="153">
        <v>23000</v>
      </c>
      <c r="AF274" s="151"/>
      <c r="AG274" s="153"/>
      <c r="AH274" s="151"/>
      <c r="AI274" s="153"/>
      <c r="AJ274" s="151"/>
      <c r="AK274" s="153"/>
      <c r="AL274" s="151"/>
      <c r="AM274" s="153"/>
      <c r="AN274" s="151"/>
      <c r="AO274" s="153"/>
      <c r="AP274" s="61">
        <f t="shared" si="46"/>
        <v>22983</v>
      </c>
      <c r="AQ274" s="75">
        <f t="shared" si="47"/>
        <v>23000</v>
      </c>
      <c r="AR274" s="150" t="s">
        <v>171</v>
      </c>
    </row>
    <row r="275" spans="1:44" x14ac:dyDescent="0.25">
      <c r="A275" s="4" t="s">
        <v>214</v>
      </c>
      <c r="B275" s="4" t="s">
        <v>222</v>
      </c>
      <c r="C275" s="5" t="s">
        <v>67</v>
      </c>
      <c r="D275" s="151"/>
      <c r="E275" s="153"/>
      <c r="F275" s="151"/>
      <c r="G275" s="153"/>
      <c r="H275" s="151"/>
      <c r="I275" s="153"/>
      <c r="J275" s="151"/>
      <c r="K275" s="153"/>
      <c r="L275" s="151"/>
      <c r="M275" s="153"/>
      <c r="N275" s="151"/>
      <c r="O275" s="153"/>
      <c r="P275" s="151"/>
      <c r="Q275" s="153"/>
      <c r="R275" s="151"/>
      <c r="S275" s="153"/>
      <c r="T275" s="151"/>
      <c r="U275" s="153"/>
      <c r="V275" s="151"/>
      <c r="W275" s="153"/>
      <c r="X275" s="151"/>
      <c r="Y275" s="153"/>
      <c r="Z275" s="61">
        <f t="shared" si="44"/>
        <v>0</v>
      </c>
      <c r="AA275" s="75">
        <f t="shared" si="45"/>
        <v>0</v>
      </c>
      <c r="AB275" s="151"/>
      <c r="AC275" s="153"/>
      <c r="AD275" s="151"/>
      <c r="AE275" s="153"/>
      <c r="AF275" s="151">
        <v>0</v>
      </c>
      <c r="AG275" s="153"/>
      <c r="AH275" s="151"/>
      <c r="AI275" s="153"/>
      <c r="AJ275" s="151"/>
      <c r="AK275" s="153"/>
      <c r="AL275" s="151"/>
      <c r="AM275" s="153"/>
      <c r="AN275" s="151"/>
      <c r="AO275" s="153"/>
      <c r="AP275" s="61">
        <f t="shared" si="46"/>
        <v>0</v>
      </c>
      <c r="AQ275" s="75">
        <f t="shared" si="47"/>
        <v>0</v>
      </c>
      <c r="AR275" s="150" t="s">
        <v>68</v>
      </c>
    </row>
    <row r="276" spans="1:44" x14ac:dyDescent="0.25">
      <c r="A276" s="4" t="s">
        <v>214</v>
      </c>
      <c r="B276" s="4" t="s">
        <v>126</v>
      </c>
      <c r="C276" s="5" t="s">
        <v>73</v>
      </c>
      <c r="D276" s="151">
        <v>7892</v>
      </c>
      <c r="E276" s="153">
        <v>8557</v>
      </c>
      <c r="F276" s="151">
        <v>15</v>
      </c>
      <c r="G276" s="153">
        <v>0</v>
      </c>
      <c r="H276" s="151"/>
      <c r="I276" s="153"/>
      <c r="J276" s="151"/>
      <c r="K276" s="153"/>
      <c r="L276" s="151">
        <v>480</v>
      </c>
      <c r="M276" s="153">
        <v>480</v>
      </c>
      <c r="N276" s="151"/>
      <c r="O276" s="153"/>
      <c r="P276" s="151">
        <v>240</v>
      </c>
      <c r="Q276" s="153">
        <v>240</v>
      </c>
      <c r="R276" s="151">
        <v>20</v>
      </c>
      <c r="S276" s="153">
        <v>20</v>
      </c>
      <c r="T276" s="151"/>
      <c r="U276" s="153"/>
      <c r="V276" s="151"/>
      <c r="W276" s="153"/>
      <c r="X276" s="151"/>
      <c r="Y276" s="153"/>
      <c r="Z276" s="61">
        <f t="shared" si="44"/>
        <v>8647</v>
      </c>
      <c r="AA276" s="75">
        <f t="shared" si="45"/>
        <v>9297</v>
      </c>
      <c r="AB276" s="151"/>
      <c r="AC276" s="153"/>
      <c r="AD276" s="151">
        <v>94</v>
      </c>
      <c r="AE276" s="153">
        <v>94</v>
      </c>
      <c r="AF276" s="151">
        <v>150</v>
      </c>
      <c r="AG276" s="153">
        <v>150</v>
      </c>
      <c r="AH276" s="151">
        <v>1796</v>
      </c>
      <c r="AI276" s="153">
        <v>1802</v>
      </c>
      <c r="AJ276" s="151"/>
      <c r="AK276" s="153"/>
      <c r="AL276" s="151"/>
      <c r="AM276" s="153"/>
      <c r="AN276" s="151"/>
      <c r="AO276" s="153"/>
      <c r="AP276" s="61">
        <f t="shared" si="46"/>
        <v>10687</v>
      </c>
      <c r="AQ276" s="75">
        <f t="shared" si="47"/>
        <v>11343</v>
      </c>
      <c r="AR276" s="150" t="s">
        <v>74</v>
      </c>
    </row>
    <row r="277" spans="1:44" x14ac:dyDescent="0.25">
      <c r="A277" s="4" t="s">
        <v>214</v>
      </c>
      <c r="B277" s="4" t="s">
        <v>77</v>
      </c>
      <c r="C277" s="5" t="s">
        <v>73</v>
      </c>
      <c r="D277" s="151">
        <v>18316</v>
      </c>
      <c r="E277" s="153">
        <v>18375</v>
      </c>
      <c r="F277" s="151">
        <v>256</v>
      </c>
      <c r="G277" s="153">
        <v>256</v>
      </c>
      <c r="H277" s="43">
        <v>6628</v>
      </c>
      <c r="I277" s="153">
        <v>11025</v>
      </c>
      <c r="J277" s="151">
        <v>240</v>
      </c>
      <c r="K277" s="153">
        <v>190</v>
      </c>
      <c r="L277" s="151">
        <v>2140</v>
      </c>
      <c r="M277" s="153">
        <v>1850</v>
      </c>
      <c r="N277" s="151">
        <v>120</v>
      </c>
      <c r="O277" s="153">
        <v>120</v>
      </c>
      <c r="P277" s="151"/>
      <c r="Q277" s="153"/>
      <c r="R277" s="151">
        <v>130</v>
      </c>
      <c r="S277" s="153">
        <v>120</v>
      </c>
      <c r="T277" s="151"/>
      <c r="U277" s="153"/>
      <c r="V277" s="151"/>
      <c r="W277" s="153"/>
      <c r="X277" s="151"/>
      <c r="Y277" s="153"/>
      <c r="Z277" s="61">
        <f t="shared" si="44"/>
        <v>27830</v>
      </c>
      <c r="AA277" s="75">
        <f t="shared" si="45"/>
        <v>31936</v>
      </c>
      <c r="AB277" s="151">
        <v>0</v>
      </c>
      <c r="AC277" s="153"/>
      <c r="AD277" s="151">
        <v>4750</v>
      </c>
      <c r="AE277" s="153">
        <v>3090</v>
      </c>
      <c r="AF277" s="151">
        <v>2260</v>
      </c>
      <c r="AG277" s="153">
        <v>1790</v>
      </c>
      <c r="AH277" s="151"/>
      <c r="AI277" s="153"/>
      <c r="AJ277" s="151"/>
      <c r="AK277" s="153"/>
      <c r="AL277" s="151"/>
      <c r="AM277" s="153"/>
      <c r="AN277" s="151"/>
      <c r="AO277" s="153"/>
      <c r="AP277" s="61">
        <f t="shared" si="46"/>
        <v>34840</v>
      </c>
      <c r="AQ277" s="75">
        <f t="shared" si="47"/>
        <v>36816</v>
      </c>
      <c r="AR277" s="150" t="s">
        <v>74</v>
      </c>
    </row>
    <row r="278" spans="1:44" x14ac:dyDescent="0.25">
      <c r="A278" s="4" t="s">
        <v>214</v>
      </c>
      <c r="B278" s="4" t="s">
        <v>223</v>
      </c>
      <c r="C278" s="5" t="s">
        <v>73</v>
      </c>
      <c r="D278" s="151"/>
      <c r="E278" s="153"/>
      <c r="F278" s="151"/>
      <c r="G278" s="153"/>
      <c r="H278" s="151"/>
      <c r="I278" s="153"/>
      <c r="J278" s="151"/>
      <c r="K278" s="153"/>
      <c r="L278" s="151">
        <v>0</v>
      </c>
      <c r="M278" s="153"/>
      <c r="N278" s="151"/>
      <c r="O278" s="153"/>
      <c r="P278" s="151"/>
      <c r="Q278" s="153"/>
      <c r="R278" s="151"/>
      <c r="S278" s="153"/>
      <c r="T278" s="151"/>
      <c r="U278" s="153"/>
      <c r="V278" s="151"/>
      <c r="W278" s="153"/>
      <c r="X278" s="151"/>
      <c r="Y278" s="153"/>
      <c r="Z278" s="61">
        <f t="shared" si="44"/>
        <v>0</v>
      </c>
      <c r="AA278" s="75">
        <f t="shared" si="45"/>
        <v>0</v>
      </c>
      <c r="AB278" s="151"/>
      <c r="AC278" s="153"/>
      <c r="AD278" s="151">
        <v>1800</v>
      </c>
      <c r="AE278" s="153">
        <v>1800</v>
      </c>
      <c r="AF278" s="151">
        <v>30</v>
      </c>
      <c r="AG278" s="153">
        <v>30</v>
      </c>
      <c r="AH278" s="151"/>
      <c r="AI278" s="153"/>
      <c r="AJ278" s="151"/>
      <c r="AK278" s="153"/>
      <c r="AL278" s="151">
        <v>0</v>
      </c>
      <c r="AM278" s="153"/>
      <c r="AN278" s="151"/>
      <c r="AO278" s="153"/>
      <c r="AP278" s="61">
        <f t="shared" si="46"/>
        <v>1830</v>
      </c>
      <c r="AQ278" s="75">
        <f t="shared" si="47"/>
        <v>1830</v>
      </c>
      <c r="AR278" s="150" t="s">
        <v>58</v>
      </c>
    </row>
    <row r="279" spans="1:44" x14ac:dyDescent="0.25">
      <c r="A279" s="4" t="s">
        <v>214</v>
      </c>
      <c r="B279" s="4" t="s">
        <v>69</v>
      </c>
      <c r="C279" s="5" t="s">
        <v>70</v>
      </c>
      <c r="D279" s="151">
        <v>3410</v>
      </c>
      <c r="E279" s="153">
        <v>3559</v>
      </c>
      <c r="F279" s="151"/>
      <c r="G279" s="153"/>
      <c r="H279" s="151"/>
      <c r="I279" s="153"/>
      <c r="J279" s="151"/>
      <c r="K279" s="153"/>
      <c r="L279" s="151"/>
      <c r="M279" s="153"/>
      <c r="N279" s="151"/>
      <c r="O279" s="153"/>
      <c r="P279" s="151"/>
      <c r="Q279" s="153"/>
      <c r="R279" s="151">
        <v>100</v>
      </c>
      <c r="S279" s="153">
        <v>95</v>
      </c>
      <c r="T279" s="151"/>
      <c r="U279" s="153"/>
      <c r="V279" s="151"/>
      <c r="W279" s="153"/>
      <c r="X279" s="151"/>
      <c r="Y279" s="153"/>
      <c r="Z279" s="61">
        <f t="shared" si="44"/>
        <v>3510</v>
      </c>
      <c r="AA279" s="75">
        <f t="shared" si="45"/>
        <v>3654</v>
      </c>
      <c r="AB279" s="151"/>
      <c r="AC279" s="153"/>
      <c r="AD279" s="151">
        <v>615</v>
      </c>
      <c r="AE279" s="153">
        <v>580</v>
      </c>
      <c r="AF279" s="151">
        <v>1380</v>
      </c>
      <c r="AG279" s="153">
        <v>1380</v>
      </c>
      <c r="AH279" s="151"/>
      <c r="AI279" s="153"/>
      <c r="AJ279" s="151"/>
      <c r="AK279" s="153"/>
      <c r="AL279" s="151"/>
      <c r="AM279" s="153"/>
      <c r="AN279" s="151"/>
      <c r="AO279" s="153"/>
      <c r="AP279" s="61">
        <f t="shared" si="46"/>
        <v>5505</v>
      </c>
      <c r="AQ279" s="75">
        <f t="shared" si="47"/>
        <v>5614</v>
      </c>
      <c r="AR279" s="150" t="s">
        <v>71</v>
      </c>
    </row>
    <row r="280" spans="1:44" x14ac:dyDescent="0.25">
      <c r="A280" s="4" t="s">
        <v>214</v>
      </c>
      <c r="B280" s="4" t="s">
        <v>97</v>
      </c>
      <c r="C280" s="5" t="s">
        <v>96</v>
      </c>
      <c r="D280" s="151"/>
      <c r="E280" s="153"/>
      <c r="F280" s="151"/>
      <c r="G280" s="153"/>
      <c r="H280" s="151"/>
      <c r="I280" s="153"/>
      <c r="J280" s="151"/>
      <c r="K280" s="153"/>
      <c r="L280" s="151"/>
      <c r="M280" s="153"/>
      <c r="N280" s="151"/>
      <c r="O280" s="153"/>
      <c r="P280" s="151"/>
      <c r="Q280" s="153"/>
      <c r="R280" s="151">
        <v>1200</v>
      </c>
      <c r="S280" s="153">
        <v>1140</v>
      </c>
      <c r="T280" s="151"/>
      <c r="U280" s="153"/>
      <c r="V280" s="151">
        <v>4150</v>
      </c>
      <c r="W280" s="153">
        <v>3500</v>
      </c>
      <c r="X280" s="151"/>
      <c r="Y280" s="153"/>
      <c r="Z280" s="61">
        <f t="shared" si="44"/>
        <v>5350</v>
      </c>
      <c r="AA280" s="75">
        <f t="shared" si="45"/>
        <v>4640</v>
      </c>
      <c r="AB280" s="151"/>
      <c r="AC280" s="153"/>
      <c r="AD280" s="151"/>
      <c r="AE280" s="153"/>
      <c r="AF280" s="151"/>
      <c r="AG280" s="153"/>
      <c r="AH280" s="151"/>
      <c r="AI280" s="153"/>
      <c r="AJ280" s="151"/>
      <c r="AK280" s="153"/>
      <c r="AL280" s="151"/>
      <c r="AM280" s="153"/>
      <c r="AN280" s="151"/>
      <c r="AO280" s="153"/>
      <c r="AP280" s="61">
        <f t="shared" si="46"/>
        <v>5350</v>
      </c>
      <c r="AQ280" s="75">
        <f t="shared" si="47"/>
        <v>4640</v>
      </c>
      <c r="AR280" s="150" t="s">
        <v>128</v>
      </c>
    </row>
    <row r="281" spans="1:44" x14ac:dyDescent="0.25">
      <c r="A281" s="4" t="s">
        <v>214</v>
      </c>
      <c r="B281" s="4" t="s">
        <v>146</v>
      </c>
      <c r="C281" s="5" t="s">
        <v>79</v>
      </c>
      <c r="D281" s="151">
        <v>4214</v>
      </c>
      <c r="E281" s="153">
        <v>4405</v>
      </c>
      <c r="F281" s="151"/>
      <c r="G281" s="153"/>
      <c r="H281" s="151"/>
      <c r="I281" s="153"/>
      <c r="J281" s="151"/>
      <c r="K281" s="153"/>
      <c r="L281" s="151"/>
      <c r="M281" s="153"/>
      <c r="N281" s="151"/>
      <c r="O281" s="153"/>
      <c r="P281" s="151"/>
      <c r="Q281" s="153"/>
      <c r="R281" s="151"/>
      <c r="S281" s="153"/>
      <c r="T281" s="151"/>
      <c r="U281" s="153"/>
      <c r="V281" s="151"/>
      <c r="W281" s="153"/>
      <c r="X281" s="151"/>
      <c r="Y281" s="153"/>
      <c r="Z281" s="61">
        <f t="shared" si="44"/>
        <v>4214</v>
      </c>
      <c r="AA281" s="75">
        <f t="shared" si="45"/>
        <v>4405</v>
      </c>
      <c r="AB281" s="151"/>
      <c r="AC281" s="153"/>
      <c r="AD281" s="151">
        <v>500</v>
      </c>
      <c r="AE281" s="153">
        <v>500</v>
      </c>
      <c r="AF281" s="151">
        <v>500</v>
      </c>
      <c r="AG281" s="153">
        <v>500</v>
      </c>
      <c r="AH281" s="151"/>
      <c r="AI281" s="153"/>
      <c r="AJ281" s="151"/>
      <c r="AK281" s="153"/>
      <c r="AL281" s="151"/>
      <c r="AM281" s="153"/>
      <c r="AN281" s="151"/>
      <c r="AO281" s="153"/>
      <c r="AP281" s="61">
        <f t="shared" si="46"/>
        <v>5214</v>
      </c>
      <c r="AQ281" s="75">
        <f t="shared" si="47"/>
        <v>5405</v>
      </c>
      <c r="AR281" s="150" t="s">
        <v>128</v>
      </c>
    </row>
    <row r="282" spans="1:44" ht="30" x14ac:dyDescent="0.25">
      <c r="A282" s="4" t="s">
        <v>214</v>
      </c>
      <c r="B282" s="4" t="s">
        <v>224</v>
      </c>
      <c r="C282" s="5" t="s">
        <v>104</v>
      </c>
      <c r="D282" s="151"/>
      <c r="E282" s="153"/>
      <c r="F282" s="151">
        <v>0</v>
      </c>
      <c r="G282" s="153"/>
      <c r="H282" s="151"/>
      <c r="I282" s="153"/>
      <c r="J282" s="151"/>
      <c r="K282" s="153"/>
      <c r="L282" s="151"/>
      <c r="M282" s="153"/>
      <c r="N282" s="151"/>
      <c r="O282" s="153"/>
      <c r="P282" s="151"/>
      <c r="Q282" s="153"/>
      <c r="R282" s="151">
        <v>220</v>
      </c>
      <c r="S282" s="153">
        <v>210</v>
      </c>
      <c r="T282" s="151"/>
      <c r="U282" s="153"/>
      <c r="V282" s="151"/>
      <c r="W282" s="153"/>
      <c r="X282" s="151"/>
      <c r="Y282" s="153"/>
      <c r="Z282" s="61">
        <f t="shared" si="44"/>
        <v>220</v>
      </c>
      <c r="AA282" s="75">
        <f t="shared" si="45"/>
        <v>210</v>
      </c>
      <c r="AB282" s="151">
        <v>0</v>
      </c>
      <c r="AC282" s="153"/>
      <c r="AD282" s="151">
        <v>0</v>
      </c>
      <c r="AE282" s="153"/>
      <c r="AF282" s="151">
        <v>320</v>
      </c>
      <c r="AG282" s="153">
        <v>320</v>
      </c>
      <c r="AH282" s="151"/>
      <c r="AI282" s="153"/>
      <c r="AJ282" s="151"/>
      <c r="AK282" s="153"/>
      <c r="AL282" s="151"/>
      <c r="AM282" s="153"/>
      <c r="AN282" s="151"/>
      <c r="AO282" s="153"/>
      <c r="AP282" s="61">
        <f t="shared" si="46"/>
        <v>540</v>
      </c>
      <c r="AQ282" s="75">
        <f t="shared" si="47"/>
        <v>530</v>
      </c>
      <c r="AR282" s="150" t="s">
        <v>102</v>
      </c>
    </row>
    <row r="283" spans="1:44" ht="28.5" customHeight="1" x14ac:dyDescent="0.25">
      <c r="A283" s="4" t="s">
        <v>214</v>
      </c>
      <c r="B283" s="4" t="s">
        <v>225</v>
      </c>
      <c r="C283" s="7" t="s">
        <v>104</v>
      </c>
      <c r="D283" s="151"/>
      <c r="E283" s="153"/>
      <c r="F283" s="151"/>
      <c r="G283" s="153"/>
      <c r="H283" s="151"/>
      <c r="I283" s="97"/>
      <c r="J283" s="151"/>
      <c r="K283" s="97"/>
      <c r="L283" s="151"/>
      <c r="M283" s="97"/>
      <c r="N283" s="151"/>
      <c r="O283" s="97"/>
      <c r="P283" s="151"/>
      <c r="Q283" s="153"/>
      <c r="R283" s="151"/>
      <c r="S283" s="153"/>
      <c r="T283" s="151"/>
      <c r="U283" s="153"/>
      <c r="V283" s="151"/>
      <c r="W283" s="153"/>
      <c r="X283" s="151"/>
      <c r="Y283" s="153"/>
      <c r="Z283" s="61">
        <f t="shared" si="44"/>
        <v>0</v>
      </c>
      <c r="AA283" s="75">
        <f t="shared" si="45"/>
        <v>0</v>
      </c>
      <c r="AB283" s="151"/>
      <c r="AC283" s="153"/>
      <c r="AD283" s="151"/>
      <c r="AE283" s="153">
        <v>5000</v>
      </c>
      <c r="AF283" s="151"/>
      <c r="AG283" s="153"/>
      <c r="AH283" s="151"/>
      <c r="AI283" s="153"/>
      <c r="AJ283" s="151"/>
      <c r="AK283" s="153"/>
      <c r="AL283" s="151"/>
      <c r="AM283" s="153"/>
      <c r="AN283" s="151"/>
      <c r="AO283" s="153"/>
      <c r="AP283" s="61">
        <f t="shared" si="46"/>
        <v>0</v>
      </c>
      <c r="AQ283" s="75">
        <f t="shared" si="47"/>
        <v>5000</v>
      </c>
      <c r="AR283" s="150"/>
    </row>
    <row r="284" spans="1:44" ht="30" x14ac:dyDescent="0.25">
      <c r="A284" s="4" t="s">
        <v>214</v>
      </c>
      <c r="B284" s="4" t="s">
        <v>100</v>
      </c>
      <c r="C284" s="5" t="s">
        <v>101</v>
      </c>
      <c r="D284" s="151"/>
      <c r="E284" s="153"/>
      <c r="F284" s="151"/>
      <c r="G284" s="153"/>
      <c r="H284" s="151"/>
      <c r="I284" s="97"/>
      <c r="J284" s="151"/>
      <c r="K284" s="97"/>
      <c r="L284" s="151"/>
      <c r="M284" s="97"/>
      <c r="N284" s="151"/>
      <c r="O284" s="97"/>
      <c r="P284" s="151"/>
      <c r="Q284" s="73"/>
      <c r="R284" s="151"/>
      <c r="S284" s="153"/>
      <c r="T284" s="151"/>
      <c r="U284" s="153"/>
      <c r="V284" s="151"/>
      <c r="W284" s="153"/>
      <c r="X284" s="151"/>
      <c r="Y284" s="153"/>
      <c r="Z284" s="61">
        <f t="shared" si="44"/>
        <v>0</v>
      </c>
      <c r="AA284" s="75">
        <f t="shared" si="45"/>
        <v>0</v>
      </c>
      <c r="AB284" s="151"/>
      <c r="AC284" s="153"/>
      <c r="AD284" s="151"/>
      <c r="AE284" s="153"/>
      <c r="AF284" s="151"/>
      <c r="AG284" s="97"/>
      <c r="AH284" s="151"/>
      <c r="AI284" s="97"/>
      <c r="AJ284" s="151"/>
      <c r="AK284" s="153"/>
      <c r="AL284" s="151">
        <v>17161</v>
      </c>
      <c r="AM284" s="153">
        <v>17161</v>
      </c>
      <c r="AN284" s="151"/>
      <c r="AO284" s="153"/>
      <c r="AP284" s="61">
        <f t="shared" si="46"/>
        <v>17161</v>
      </c>
      <c r="AQ284" s="75">
        <f t="shared" si="47"/>
        <v>17161</v>
      </c>
      <c r="AR284" s="150" t="s">
        <v>102</v>
      </c>
    </row>
    <row r="285" spans="1:44" x14ac:dyDescent="0.25">
      <c r="A285" s="4" t="s">
        <v>214</v>
      </c>
      <c r="B285" s="4" t="s">
        <v>105</v>
      </c>
      <c r="C285" s="5"/>
      <c r="D285" s="151">
        <v>7876</v>
      </c>
      <c r="E285" s="153">
        <v>8486</v>
      </c>
      <c r="F285" s="151"/>
      <c r="G285" s="153"/>
      <c r="H285" s="151"/>
      <c r="I285" s="153"/>
      <c r="J285" s="151"/>
      <c r="K285" s="153"/>
      <c r="L285" s="151"/>
      <c r="M285" s="153"/>
      <c r="N285" s="151"/>
      <c r="O285" s="153"/>
      <c r="P285" s="151"/>
      <c r="Q285" s="153"/>
      <c r="R285" s="151"/>
      <c r="S285" s="153"/>
      <c r="T285" s="151"/>
      <c r="U285" s="153"/>
      <c r="V285" s="151"/>
      <c r="W285" s="153"/>
      <c r="X285" s="151"/>
      <c r="Y285" s="153"/>
      <c r="Z285" s="61">
        <f t="shared" si="44"/>
        <v>7876</v>
      </c>
      <c r="AA285" s="75">
        <f t="shared" si="45"/>
        <v>8486</v>
      </c>
      <c r="AB285" s="151"/>
      <c r="AC285" s="153"/>
      <c r="AD285" s="151"/>
      <c r="AE285" s="153"/>
      <c r="AF285" s="151"/>
      <c r="AG285" s="153"/>
      <c r="AH285" s="151"/>
      <c r="AI285" s="153"/>
      <c r="AJ285" s="151"/>
      <c r="AK285" s="153"/>
      <c r="AL285" s="151"/>
      <c r="AM285" s="153"/>
      <c r="AN285" s="151"/>
      <c r="AO285" s="153"/>
      <c r="AP285" s="61">
        <f t="shared" si="46"/>
        <v>7876</v>
      </c>
      <c r="AQ285" s="75">
        <f t="shared" si="47"/>
        <v>8486</v>
      </c>
      <c r="AR285" s="150" t="s">
        <v>58</v>
      </c>
    </row>
    <row r="286" spans="1:44" x14ac:dyDescent="0.25">
      <c r="A286" s="4" t="s">
        <v>214</v>
      </c>
      <c r="B286" s="4" t="s">
        <v>106</v>
      </c>
      <c r="C286" s="5"/>
      <c r="D286" s="151">
        <v>8660</v>
      </c>
      <c r="E286" s="153">
        <v>8839</v>
      </c>
      <c r="F286" s="151"/>
      <c r="G286" s="153"/>
      <c r="H286" s="151"/>
      <c r="I286" s="153"/>
      <c r="J286" s="151"/>
      <c r="K286" s="153"/>
      <c r="L286" s="151"/>
      <c r="M286" s="153"/>
      <c r="N286" s="151"/>
      <c r="O286" s="153"/>
      <c r="P286" s="151"/>
      <c r="Q286" s="153"/>
      <c r="R286" s="151"/>
      <c r="S286" s="153"/>
      <c r="T286" s="151"/>
      <c r="U286" s="153"/>
      <c r="V286" s="151"/>
      <c r="W286" s="153"/>
      <c r="X286" s="151"/>
      <c r="Y286" s="153"/>
      <c r="Z286" s="61">
        <f t="shared" si="44"/>
        <v>8660</v>
      </c>
      <c r="AA286" s="75">
        <f t="shared" si="45"/>
        <v>8839</v>
      </c>
      <c r="AB286" s="151"/>
      <c r="AC286" s="153"/>
      <c r="AD286" s="151"/>
      <c r="AE286" s="153"/>
      <c r="AF286" s="151"/>
      <c r="AG286" s="153"/>
      <c r="AH286" s="151"/>
      <c r="AI286" s="153"/>
      <c r="AJ286" s="151"/>
      <c r="AK286" s="153"/>
      <c r="AL286" s="151"/>
      <c r="AM286" s="153"/>
      <c r="AN286" s="151"/>
      <c r="AO286" s="153"/>
      <c r="AP286" s="61">
        <f t="shared" si="46"/>
        <v>8660</v>
      </c>
      <c r="AQ286" s="75">
        <f t="shared" si="47"/>
        <v>8839</v>
      </c>
      <c r="AR286" s="150" t="s">
        <v>58</v>
      </c>
    </row>
    <row r="287" spans="1:44" x14ac:dyDescent="0.25">
      <c r="A287" s="16" t="s">
        <v>226</v>
      </c>
      <c r="B287" s="16" t="s">
        <v>108</v>
      </c>
      <c r="C287" s="17"/>
      <c r="D287" s="18">
        <f t="shared" ref="D287:AP287" si="48">SUM(D262:D286)</f>
        <v>438235</v>
      </c>
      <c r="E287" s="105">
        <f t="shared" si="48"/>
        <v>465889</v>
      </c>
      <c r="F287" s="18">
        <f t="shared" si="48"/>
        <v>3311</v>
      </c>
      <c r="G287" s="18">
        <f t="shared" si="48"/>
        <v>3286</v>
      </c>
      <c r="H287" s="18">
        <f t="shared" si="48"/>
        <v>21641</v>
      </c>
      <c r="I287" s="18">
        <f t="shared" si="48"/>
        <v>31911</v>
      </c>
      <c r="J287" s="18">
        <f t="shared" si="48"/>
        <v>8910</v>
      </c>
      <c r="K287" s="18">
        <f t="shared" si="48"/>
        <v>8175</v>
      </c>
      <c r="L287" s="18">
        <f t="shared" si="48"/>
        <v>28120</v>
      </c>
      <c r="M287" s="18">
        <f t="shared" si="48"/>
        <v>23310</v>
      </c>
      <c r="N287" s="18">
        <f t="shared" si="48"/>
        <v>3118</v>
      </c>
      <c r="O287" s="18">
        <f t="shared" si="48"/>
        <v>3058</v>
      </c>
      <c r="P287" s="18">
        <f t="shared" si="48"/>
        <v>8691</v>
      </c>
      <c r="Q287" s="18">
        <f t="shared" si="48"/>
        <v>4275</v>
      </c>
      <c r="R287" s="18">
        <f t="shared" si="48"/>
        <v>10960</v>
      </c>
      <c r="S287" s="18">
        <f t="shared" si="48"/>
        <v>9857</v>
      </c>
      <c r="T287" s="18">
        <f t="shared" si="48"/>
        <v>44261</v>
      </c>
      <c r="U287" s="18">
        <f t="shared" si="48"/>
        <v>50079</v>
      </c>
      <c r="V287" s="18">
        <f t="shared" si="48"/>
        <v>4150</v>
      </c>
      <c r="W287" s="18">
        <f t="shared" si="48"/>
        <v>3500</v>
      </c>
      <c r="X287" s="18">
        <f t="shared" si="48"/>
        <v>0</v>
      </c>
      <c r="Y287" s="18">
        <f t="shared" si="48"/>
        <v>0</v>
      </c>
      <c r="Z287" s="18">
        <f t="shared" si="48"/>
        <v>571397</v>
      </c>
      <c r="AA287" s="18">
        <f t="shared" si="48"/>
        <v>603340</v>
      </c>
      <c r="AB287" s="18">
        <f t="shared" si="48"/>
        <v>150</v>
      </c>
      <c r="AC287" s="18">
        <f t="shared" si="48"/>
        <v>0</v>
      </c>
      <c r="AD287" s="18">
        <f t="shared" si="48"/>
        <v>80379</v>
      </c>
      <c r="AE287" s="18">
        <f t="shared" si="48"/>
        <v>79940</v>
      </c>
      <c r="AF287" s="18">
        <f t="shared" si="48"/>
        <v>55175</v>
      </c>
      <c r="AG287" s="18">
        <f t="shared" si="48"/>
        <v>56745</v>
      </c>
      <c r="AH287" s="18">
        <f t="shared" si="48"/>
        <v>1796</v>
      </c>
      <c r="AI287" s="18">
        <f t="shared" si="48"/>
        <v>1802</v>
      </c>
      <c r="AJ287" s="18">
        <f t="shared" si="48"/>
        <v>0</v>
      </c>
      <c r="AK287" s="18">
        <f t="shared" si="48"/>
        <v>0</v>
      </c>
      <c r="AL287" s="18">
        <f t="shared" si="48"/>
        <v>17161</v>
      </c>
      <c r="AM287" s="18">
        <f t="shared" si="48"/>
        <v>17161</v>
      </c>
      <c r="AN287" s="18">
        <f t="shared" si="48"/>
        <v>270</v>
      </c>
      <c r="AO287" s="18">
        <f t="shared" si="48"/>
        <v>394</v>
      </c>
      <c r="AP287" s="18">
        <f t="shared" si="48"/>
        <v>726328</v>
      </c>
      <c r="AQ287" s="75">
        <f t="shared" ref="AQ287:AQ318" si="49">AA287+AC287+AE287+AG287+AI287+AK287+AM287+AO287</f>
        <v>759382</v>
      </c>
      <c r="AR287" s="150"/>
    </row>
    <row r="288" spans="1:44" x14ac:dyDescent="0.25">
      <c r="A288" s="4" t="s">
        <v>227</v>
      </c>
      <c r="B288" s="4" t="s">
        <v>125</v>
      </c>
      <c r="C288" s="5" t="s">
        <v>57</v>
      </c>
      <c r="D288" s="151">
        <v>27711</v>
      </c>
      <c r="E288" s="153">
        <v>24056</v>
      </c>
      <c r="F288" s="151">
        <v>750</v>
      </c>
      <c r="G288" s="153">
        <v>700</v>
      </c>
      <c r="H288" s="151"/>
      <c r="I288" s="153"/>
      <c r="J288" s="151">
        <v>100</v>
      </c>
      <c r="K288" s="153">
        <v>205</v>
      </c>
      <c r="L288" s="151">
        <v>1800</v>
      </c>
      <c r="M288" s="153">
        <v>1800</v>
      </c>
      <c r="N288" s="151">
        <v>120</v>
      </c>
      <c r="O288" s="153">
        <v>120</v>
      </c>
      <c r="P288" s="151">
        <v>4000</v>
      </c>
      <c r="Q288" s="153">
        <v>3000</v>
      </c>
      <c r="R288" s="151">
        <v>3000</v>
      </c>
      <c r="S288" s="153">
        <v>1200</v>
      </c>
      <c r="T288" s="151"/>
      <c r="U288" s="153"/>
      <c r="V288" s="151"/>
      <c r="W288" s="153"/>
      <c r="X288" s="151"/>
      <c r="Y288" s="153"/>
      <c r="Z288" s="61">
        <f t="shared" ref="Z288:Z305" si="50">D288+F288+H288+J288+L288+P288+R288+T288+V288+X288+N288</f>
        <v>37481</v>
      </c>
      <c r="AA288" s="75">
        <f t="shared" ref="AA288:AA305" si="51">E288+G288+I288+K288+M288+Q288+S288+U288+W288+Y288+O288</f>
        <v>31081</v>
      </c>
      <c r="AB288" s="151">
        <v>25</v>
      </c>
      <c r="AC288" s="153"/>
      <c r="AD288" s="151">
        <v>7800</v>
      </c>
      <c r="AE288" s="153">
        <v>7410</v>
      </c>
      <c r="AF288" s="151">
        <v>4000</v>
      </c>
      <c r="AG288" s="153">
        <v>3600</v>
      </c>
      <c r="AH288" s="151">
        <v>200</v>
      </c>
      <c r="AI288" s="153">
        <v>120</v>
      </c>
      <c r="AJ288" s="151"/>
      <c r="AK288" s="153"/>
      <c r="AL288" s="151"/>
      <c r="AM288" s="153"/>
      <c r="AN288" s="151"/>
      <c r="AO288" s="153"/>
      <c r="AP288" s="61">
        <f t="shared" ref="AP288:AP305" si="52">Z288+AB288+AD288+AF288+AH288+AJ288+AL288+AN288</f>
        <v>49506</v>
      </c>
      <c r="AQ288" s="75">
        <f t="shared" si="49"/>
        <v>42211</v>
      </c>
      <c r="AR288" s="150" t="s">
        <v>58</v>
      </c>
    </row>
    <row r="289" spans="1:44" x14ac:dyDescent="0.25">
      <c r="A289" s="4" t="s">
        <v>227</v>
      </c>
      <c r="B289" s="4" t="s">
        <v>126</v>
      </c>
      <c r="C289" s="5" t="s">
        <v>73</v>
      </c>
      <c r="D289" s="151">
        <v>7445</v>
      </c>
      <c r="E289" s="153">
        <v>8083</v>
      </c>
      <c r="F289" s="151">
        <v>150</v>
      </c>
      <c r="G289" s="153">
        <v>200</v>
      </c>
      <c r="H289" s="151"/>
      <c r="I289" s="153"/>
      <c r="J289" s="151">
        <v>35</v>
      </c>
      <c r="K289" s="153">
        <v>35</v>
      </c>
      <c r="L289" s="151">
        <v>860</v>
      </c>
      <c r="M289" s="153">
        <v>860</v>
      </c>
      <c r="N289" s="151">
        <v>80</v>
      </c>
      <c r="O289" s="153">
        <v>80</v>
      </c>
      <c r="P289" s="151">
        <v>650</v>
      </c>
      <c r="Q289" s="153">
        <v>650</v>
      </c>
      <c r="R289" s="151"/>
      <c r="S289" s="153"/>
      <c r="T289" s="151"/>
      <c r="U289" s="153"/>
      <c r="V289" s="151"/>
      <c r="W289" s="153"/>
      <c r="X289" s="151"/>
      <c r="Y289" s="153"/>
      <c r="Z289" s="61">
        <f t="shared" si="50"/>
        <v>9220</v>
      </c>
      <c r="AA289" s="75">
        <f t="shared" si="51"/>
        <v>9908</v>
      </c>
      <c r="AB289" s="151">
        <v>25</v>
      </c>
      <c r="AC289" s="153">
        <v>30</v>
      </c>
      <c r="AD289" s="151">
        <v>600</v>
      </c>
      <c r="AE289" s="153">
        <v>570</v>
      </c>
      <c r="AF289" s="151">
        <v>1366</v>
      </c>
      <c r="AG289" s="153">
        <v>1298</v>
      </c>
      <c r="AH289" s="151">
        <v>1346</v>
      </c>
      <c r="AI289" s="153">
        <v>1316</v>
      </c>
      <c r="AJ289" s="151"/>
      <c r="AK289" s="153"/>
      <c r="AL289" s="151"/>
      <c r="AM289" s="153"/>
      <c r="AN289" s="151"/>
      <c r="AO289" s="153"/>
      <c r="AP289" s="61">
        <f t="shared" si="52"/>
        <v>12557</v>
      </c>
      <c r="AQ289" s="75">
        <f t="shared" si="49"/>
        <v>13122</v>
      </c>
      <c r="AR289" s="150" t="s">
        <v>74</v>
      </c>
    </row>
    <row r="290" spans="1:44" x14ac:dyDescent="0.25">
      <c r="A290" s="4" t="s">
        <v>227</v>
      </c>
      <c r="B290" s="4" t="s">
        <v>77</v>
      </c>
      <c r="C290" s="5" t="s">
        <v>73</v>
      </c>
      <c r="D290" s="151">
        <v>22634</v>
      </c>
      <c r="E290" s="153">
        <v>22750</v>
      </c>
      <c r="F290" s="151">
        <v>380</v>
      </c>
      <c r="G290" s="153">
        <v>380</v>
      </c>
      <c r="H290" s="151"/>
      <c r="I290" s="153"/>
      <c r="J290" s="151">
        <v>60</v>
      </c>
      <c r="K290" s="153">
        <v>85</v>
      </c>
      <c r="L290" s="151">
        <v>2000</v>
      </c>
      <c r="M290" s="153">
        <v>2778</v>
      </c>
      <c r="N290" s="151">
        <v>200</v>
      </c>
      <c r="O290" s="153">
        <v>200</v>
      </c>
      <c r="P290" s="151">
        <v>2400</v>
      </c>
      <c r="Q290" s="153">
        <v>2400</v>
      </c>
      <c r="R290" s="151">
        <v>2560</v>
      </c>
      <c r="S290" s="153">
        <v>2500</v>
      </c>
      <c r="T290" s="151"/>
      <c r="U290" s="153"/>
      <c r="V290" s="151"/>
      <c r="W290" s="153"/>
      <c r="X290" s="151"/>
      <c r="Y290" s="153"/>
      <c r="Z290" s="61">
        <f t="shared" si="50"/>
        <v>30234</v>
      </c>
      <c r="AA290" s="75">
        <f t="shared" si="51"/>
        <v>31093</v>
      </c>
      <c r="AB290" s="151">
        <v>30</v>
      </c>
      <c r="AC290" s="153">
        <v>100</v>
      </c>
      <c r="AD290" s="151">
        <v>5000</v>
      </c>
      <c r="AE290" s="153">
        <v>4750</v>
      </c>
      <c r="AF290" s="151">
        <v>5000</v>
      </c>
      <c r="AG290" s="153">
        <v>4750</v>
      </c>
      <c r="AH290" s="151"/>
      <c r="AI290" s="153"/>
      <c r="AJ290" s="151"/>
      <c r="AK290" s="153"/>
      <c r="AL290" s="151"/>
      <c r="AM290" s="153"/>
      <c r="AN290" s="151"/>
      <c r="AO290" s="153"/>
      <c r="AP290" s="61">
        <f t="shared" si="52"/>
        <v>40264</v>
      </c>
      <c r="AQ290" s="75">
        <f t="shared" si="49"/>
        <v>40693</v>
      </c>
      <c r="AR290" s="150" t="s">
        <v>74</v>
      </c>
    </row>
    <row r="291" spans="1:44" x14ac:dyDescent="0.25">
      <c r="A291" s="4" t="s">
        <v>227</v>
      </c>
      <c r="B291" s="4" t="s">
        <v>69</v>
      </c>
      <c r="C291" s="5" t="s">
        <v>70</v>
      </c>
      <c r="D291" s="151">
        <v>3142</v>
      </c>
      <c r="E291" s="153">
        <v>3278</v>
      </c>
      <c r="F291" s="151"/>
      <c r="G291" s="153"/>
      <c r="H291" s="151"/>
      <c r="I291" s="153"/>
      <c r="J291" s="151">
        <v>350</v>
      </c>
      <c r="K291" s="153">
        <v>300</v>
      </c>
      <c r="L291" s="151">
        <v>140</v>
      </c>
      <c r="M291" s="153">
        <v>140</v>
      </c>
      <c r="N291" s="151">
        <v>30</v>
      </c>
      <c r="O291" s="153">
        <v>30</v>
      </c>
      <c r="P291" s="151"/>
      <c r="Q291" s="153"/>
      <c r="R291" s="151">
        <v>1610</v>
      </c>
      <c r="S291" s="153">
        <v>1200</v>
      </c>
      <c r="T291" s="151"/>
      <c r="U291" s="153"/>
      <c r="V291" s="151"/>
      <c r="W291" s="153"/>
      <c r="X291" s="151"/>
      <c r="Y291" s="153"/>
      <c r="Z291" s="61">
        <f t="shared" si="50"/>
        <v>5272</v>
      </c>
      <c r="AA291" s="75">
        <f t="shared" si="51"/>
        <v>4948</v>
      </c>
      <c r="AB291" s="151">
        <v>20</v>
      </c>
      <c r="AC291" s="153"/>
      <c r="AD291" s="151">
        <v>300</v>
      </c>
      <c r="AE291" s="153">
        <v>300</v>
      </c>
      <c r="AF291" s="151">
        <v>2023</v>
      </c>
      <c r="AG291" s="153">
        <v>2023</v>
      </c>
      <c r="AH291" s="151"/>
      <c r="AI291" s="153"/>
      <c r="AJ291" s="151"/>
      <c r="AK291" s="153"/>
      <c r="AL291" s="151"/>
      <c r="AM291" s="153"/>
      <c r="AN291" s="151"/>
      <c r="AO291" s="153"/>
      <c r="AP291" s="61">
        <f t="shared" si="52"/>
        <v>7615</v>
      </c>
      <c r="AQ291" s="75">
        <f t="shared" si="49"/>
        <v>7271</v>
      </c>
      <c r="AR291" s="150" t="s">
        <v>71</v>
      </c>
    </row>
    <row r="292" spans="1:44" x14ac:dyDescent="0.25">
      <c r="A292" s="4" t="s">
        <v>227</v>
      </c>
      <c r="B292" s="4" t="s">
        <v>146</v>
      </c>
      <c r="C292" s="5" t="s">
        <v>79</v>
      </c>
      <c r="D292" s="151">
        <v>3306</v>
      </c>
      <c r="E292" s="153">
        <v>3708</v>
      </c>
      <c r="F292" s="151"/>
      <c r="G292" s="153"/>
      <c r="H292" s="151"/>
      <c r="I292" s="153"/>
      <c r="J292" s="151">
        <v>200</v>
      </c>
      <c r="K292" s="153">
        <v>120</v>
      </c>
      <c r="L292" s="151">
        <v>200</v>
      </c>
      <c r="M292" s="153">
        <v>250</v>
      </c>
      <c r="N292" s="151">
        <v>35</v>
      </c>
      <c r="O292" s="153">
        <v>35</v>
      </c>
      <c r="P292" s="151"/>
      <c r="Q292" s="153"/>
      <c r="R292" s="151"/>
      <c r="S292" s="153">
        <v>300</v>
      </c>
      <c r="T292" s="151"/>
      <c r="U292" s="153"/>
      <c r="V292" s="151"/>
      <c r="W292" s="153"/>
      <c r="X292" s="151"/>
      <c r="Y292" s="153"/>
      <c r="Z292" s="61">
        <f t="shared" si="50"/>
        <v>3741</v>
      </c>
      <c r="AA292" s="75">
        <f t="shared" si="51"/>
        <v>4413</v>
      </c>
      <c r="AB292" s="151">
        <v>20</v>
      </c>
      <c r="AC292" s="153">
        <v>20</v>
      </c>
      <c r="AD292" s="151">
        <v>250</v>
      </c>
      <c r="AE292" s="153">
        <v>745</v>
      </c>
      <c r="AF292" s="151">
        <v>320</v>
      </c>
      <c r="AG292" s="153">
        <v>1833</v>
      </c>
      <c r="AH292" s="151"/>
      <c r="AI292" s="153"/>
      <c r="AJ292" s="151"/>
      <c r="AK292" s="153"/>
      <c r="AL292" s="151"/>
      <c r="AM292" s="153"/>
      <c r="AN292" s="151"/>
      <c r="AO292" s="153"/>
      <c r="AP292" s="61">
        <f t="shared" si="52"/>
        <v>4331</v>
      </c>
      <c r="AQ292" s="75">
        <f t="shared" si="49"/>
        <v>7011</v>
      </c>
      <c r="AR292" s="150" t="s">
        <v>74</v>
      </c>
    </row>
    <row r="293" spans="1:44" x14ac:dyDescent="0.25">
      <c r="A293" s="4" t="s">
        <v>227</v>
      </c>
      <c r="B293" s="4" t="s">
        <v>131</v>
      </c>
      <c r="C293" s="5" t="s">
        <v>67</v>
      </c>
      <c r="D293" s="151">
        <v>13372</v>
      </c>
      <c r="E293" s="153">
        <v>13718</v>
      </c>
      <c r="F293" s="151">
        <v>510</v>
      </c>
      <c r="G293" s="153">
        <v>420</v>
      </c>
      <c r="H293" s="151"/>
      <c r="I293" s="153"/>
      <c r="J293" s="151">
        <v>300</v>
      </c>
      <c r="K293" s="153">
        <v>300</v>
      </c>
      <c r="L293" s="151">
        <v>850</v>
      </c>
      <c r="M293" s="153">
        <v>800</v>
      </c>
      <c r="N293" s="151">
        <v>85</v>
      </c>
      <c r="O293" s="153">
        <v>85</v>
      </c>
      <c r="P293" s="151">
        <v>250</v>
      </c>
      <c r="Q293" s="153">
        <v>250</v>
      </c>
      <c r="R293" s="151">
        <v>530</v>
      </c>
      <c r="S293" s="153">
        <v>530</v>
      </c>
      <c r="T293" s="151"/>
      <c r="U293" s="153"/>
      <c r="V293" s="151"/>
      <c r="W293" s="153"/>
      <c r="X293" s="151"/>
      <c r="Y293" s="153"/>
      <c r="Z293" s="61">
        <f t="shared" si="50"/>
        <v>15897</v>
      </c>
      <c r="AA293" s="75">
        <f t="shared" si="51"/>
        <v>16103</v>
      </c>
      <c r="AB293" s="151"/>
      <c r="AC293" s="153"/>
      <c r="AD293" s="151">
        <v>250</v>
      </c>
      <c r="AE293" s="153">
        <v>238</v>
      </c>
      <c r="AF293" s="151">
        <v>450</v>
      </c>
      <c r="AG293" s="153">
        <v>450</v>
      </c>
      <c r="AH293" s="151"/>
      <c r="AI293" s="153"/>
      <c r="AJ293" s="151"/>
      <c r="AK293" s="153"/>
      <c r="AL293" s="151"/>
      <c r="AM293" s="153"/>
      <c r="AN293" s="151"/>
      <c r="AO293" s="153"/>
      <c r="AP293" s="61">
        <f t="shared" si="52"/>
        <v>16597</v>
      </c>
      <c r="AQ293" s="75">
        <f t="shared" si="49"/>
        <v>16791</v>
      </c>
      <c r="AR293" s="150" t="s">
        <v>68</v>
      </c>
    </row>
    <row r="294" spans="1:44" ht="30" x14ac:dyDescent="0.25">
      <c r="A294" s="4" t="s">
        <v>227</v>
      </c>
      <c r="B294" s="4" t="s">
        <v>224</v>
      </c>
      <c r="C294" s="5" t="s">
        <v>104</v>
      </c>
      <c r="D294" s="151"/>
      <c r="E294" s="153"/>
      <c r="F294" s="151">
        <v>150</v>
      </c>
      <c r="G294" s="153">
        <v>150</v>
      </c>
      <c r="H294" s="151"/>
      <c r="I294" s="153"/>
      <c r="J294" s="151">
        <v>774</v>
      </c>
      <c r="K294" s="153">
        <v>774</v>
      </c>
      <c r="L294" s="151">
        <v>550</v>
      </c>
      <c r="M294" s="153">
        <v>550</v>
      </c>
      <c r="N294" s="151">
        <v>600</v>
      </c>
      <c r="O294" s="153">
        <v>600</v>
      </c>
      <c r="P294" s="151">
        <v>1200</v>
      </c>
      <c r="Q294" s="153">
        <v>3450</v>
      </c>
      <c r="R294" s="151">
        <v>1500</v>
      </c>
      <c r="S294" s="153">
        <v>1500</v>
      </c>
      <c r="T294" s="151"/>
      <c r="U294" s="153"/>
      <c r="V294" s="151"/>
      <c r="W294" s="153"/>
      <c r="X294" s="151"/>
      <c r="Y294" s="153"/>
      <c r="Z294" s="61">
        <f t="shared" si="50"/>
        <v>4774</v>
      </c>
      <c r="AA294" s="75">
        <f t="shared" si="51"/>
        <v>7024</v>
      </c>
      <c r="AB294" s="151"/>
      <c r="AC294" s="153"/>
      <c r="AD294" s="151">
        <v>800</v>
      </c>
      <c r="AE294" s="153">
        <v>760</v>
      </c>
      <c r="AF294" s="151">
        <v>230</v>
      </c>
      <c r="AG294" s="153">
        <v>218</v>
      </c>
      <c r="AH294" s="151"/>
      <c r="AI294" s="153"/>
      <c r="AJ294" s="151"/>
      <c r="AK294" s="153"/>
      <c r="AL294" s="151"/>
      <c r="AM294" s="153"/>
      <c r="AN294" s="151"/>
      <c r="AO294" s="153"/>
      <c r="AP294" s="61">
        <f t="shared" si="52"/>
        <v>5804</v>
      </c>
      <c r="AQ294" s="75">
        <f t="shared" si="49"/>
        <v>8002</v>
      </c>
      <c r="AR294" s="150" t="s">
        <v>102</v>
      </c>
    </row>
    <row r="295" spans="1:44" ht="26.25" x14ac:dyDescent="0.25">
      <c r="A295" s="4" t="s">
        <v>227</v>
      </c>
      <c r="B295" s="4" t="s">
        <v>228</v>
      </c>
      <c r="C295" s="5" t="s">
        <v>165</v>
      </c>
      <c r="D295" s="151">
        <v>0</v>
      </c>
      <c r="E295" s="153"/>
      <c r="F295" s="151"/>
      <c r="G295" s="153"/>
      <c r="H295" s="151"/>
      <c r="I295" s="153"/>
      <c r="J295" s="151">
        <v>800</v>
      </c>
      <c r="K295" s="153">
        <v>800</v>
      </c>
      <c r="L295" s="151">
        <v>3000</v>
      </c>
      <c r="M295" s="153">
        <v>3000</v>
      </c>
      <c r="N295" s="151">
        <v>670</v>
      </c>
      <c r="O295" s="153">
        <v>670</v>
      </c>
      <c r="P295" s="151">
        <v>5000</v>
      </c>
      <c r="Q295" s="153">
        <v>3200</v>
      </c>
      <c r="R295" s="151"/>
      <c r="S295" s="153"/>
      <c r="T295" s="151"/>
      <c r="U295" s="153"/>
      <c r="V295" s="151"/>
      <c r="W295" s="153"/>
      <c r="X295" s="151"/>
      <c r="Y295" s="153"/>
      <c r="Z295" s="61">
        <f t="shared" si="50"/>
        <v>9470</v>
      </c>
      <c r="AA295" s="75">
        <f t="shared" si="51"/>
        <v>7670</v>
      </c>
      <c r="AB295" s="151"/>
      <c r="AC295" s="153"/>
      <c r="AD295" s="151">
        <v>1800</v>
      </c>
      <c r="AE295" s="153">
        <v>1710</v>
      </c>
      <c r="AF295" s="151">
        <v>4000</v>
      </c>
      <c r="AG295" s="153">
        <v>3800</v>
      </c>
      <c r="AH295" s="151"/>
      <c r="AI295" s="153"/>
      <c r="AJ295" s="151"/>
      <c r="AK295" s="153"/>
      <c r="AL295" s="151"/>
      <c r="AM295" s="153"/>
      <c r="AN295" s="151"/>
      <c r="AO295" s="153"/>
      <c r="AP295" s="61">
        <f t="shared" si="52"/>
        <v>15270</v>
      </c>
      <c r="AQ295" s="75">
        <f t="shared" si="49"/>
        <v>13180</v>
      </c>
      <c r="AR295" s="150" t="s">
        <v>167</v>
      </c>
    </row>
    <row r="296" spans="1:44" x14ac:dyDescent="0.25">
      <c r="A296" s="4" t="s">
        <v>227</v>
      </c>
      <c r="B296" s="4" t="s">
        <v>90</v>
      </c>
      <c r="C296" s="5" t="s">
        <v>86</v>
      </c>
      <c r="D296" s="151"/>
      <c r="E296" s="153"/>
      <c r="F296" s="151"/>
      <c r="G296" s="153"/>
      <c r="H296" s="151"/>
      <c r="I296" s="153"/>
      <c r="J296" s="151"/>
      <c r="K296" s="153"/>
      <c r="L296" s="151"/>
      <c r="M296" s="153"/>
      <c r="N296" s="151"/>
      <c r="O296" s="153"/>
      <c r="P296" s="151"/>
      <c r="Q296" s="153"/>
      <c r="R296" s="151"/>
      <c r="S296" s="153"/>
      <c r="T296" s="151">
        <v>900</v>
      </c>
      <c r="U296" s="153">
        <v>900</v>
      </c>
      <c r="V296" s="151"/>
      <c r="W296" s="153"/>
      <c r="X296" s="151"/>
      <c r="Y296" s="153"/>
      <c r="Z296" s="61">
        <f t="shared" si="50"/>
        <v>900</v>
      </c>
      <c r="AA296" s="75">
        <f t="shared" si="51"/>
        <v>900</v>
      </c>
      <c r="AB296" s="151"/>
      <c r="AC296" s="153"/>
      <c r="AD296" s="151"/>
      <c r="AE296" s="153"/>
      <c r="AF296" s="151"/>
      <c r="AG296" s="153"/>
      <c r="AH296" s="151"/>
      <c r="AI296" s="153"/>
      <c r="AJ296" s="151"/>
      <c r="AK296" s="153"/>
      <c r="AL296" s="151"/>
      <c r="AM296" s="153"/>
      <c r="AN296" s="151"/>
      <c r="AO296" s="153"/>
      <c r="AP296" s="61">
        <f t="shared" si="52"/>
        <v>900</v>
      </c>
      <c r="AQ296" s="75">
        <f t="shared" si="49"/>
        <v>900</v>
      </c>
      <c r="AR296" s="150" t="s">
        <v>58</v>
      </c>
    </row>
    <row r="297" spans="1:44" x14ac:dyDescent="0.25">
      <c r="A297" s="4" t="s">
        <v>227</v>
      </c>
      <c r="B297" s="4" t="s">
        <v>181</v>
      </c>
      <c r="C297" s="5" t="s">
        <v>82</v>
      </c>
      <c r="D297" s="151">
        <v>0</v>
      </c>
      <c r="E297" s="153"/>
      <c r="F297" s="151">
        <v>220</v>
      </c>
      <c r="G297" s="153">
        <v>220</v>
      </c>
      <c r="H297" s="151"/>
      <c r="I297" s="153"/>
      <c r="J297" s="151">
        <v>400</v>
      </c>
      <c r="K297" s="153">
        <v>400</v>
      </c>
      <c r="L297" s="151">
        <v>2800</v>
      </c>
      <c r="M297" s="153">
        <v>2800</v>
      </c>
      <c r="N297" s="151">
        <v>260</v>
      </c>
      <c r="O297" s="153">
        <v>260</v>
      </c>
      <c r="P297" s="151">
        <v>1500</v>
      </c>
      <c r="Q297" s="153">
        <v>1500</v>
      </c>
      <c r="R297" s="151">
        <v>500</v>
      </c>
      <c r="S297" s="153"/>
      <c r="T297" s="151">
        <v>4166</v>
      </c>
      <c r="U297" s="153">
        <v>3395</v>
      </c>
      <c r="V297" s="151"/>
      <c r="W297" s="153"/>
      <c r="X297" s="151"/>
      <c r="Y297" s="153"/>
      <c r="Z297" s="61">
        <f t="shared" si="50"/>
        <v>9846</v>
      </c>
      <c r="AA297" s="75">
        <f t="shared" si="51"/>
        <v>8575</v>
      </c>
      <c r="AB297" s="151"/>
      <c r="AC297" s="153"/>
      <c r="AD297" s="151">
        <v>900</v>
      </c>
      <c r="AE297" s="153">
        <v>800</v>
      </c>
      <c r="AF297" s="151">
        <v>2000</v>
      </c>
      <c r="AG297" s="153">
        <v>1200</v>
      </c>
      <c r="AH297" s="151"/>
      <c r="AI297" s="153"/>
      <c r="AJ297" s="151"/>
      <c r="AK297" s="153"/>
      <c r="AL297" s="151"/>
      <c r="AM297" s="153"/>
      <c r="AN297" s="151"/>
      <c r="AO297" s="153"/>
      <c r="AP297" s="61">
        <f t="shared" si="52"/>
        <v>12746</v>
      </c>
      <c r="AQ297" s="75">
        <f t="shared" si="49"/>
        <v>10575</v>
      </c>
      <c r="AR297" s="150" t="s">
        <v>128</v>
      </c>
    </row>
    <row r="298" spans="1:44" x14ac:dyDescent="0.25">
      <c r="A298" s="4" t="s">
        <v>227</v>
      </c>
      <c r="B298" s="4" t="s">
        <v>98</v>
      </c>
      <c r="C298" s="5" t="s">
        <v>99</v>
      </c>
      <c r="D298" s="151"/>
      <c r="E298" s="153"/>
      <c r="F298" s="151">
        <v>137</v>
      </c>
      <c r="G298" s="153">
        <v>137</v>
      </c>
      <c r="H298" s="151"/>
      <c r="I298" s="153"/>
      <c r="J298" s="151"/>
      <c r="K298" s="153"/>
      <c r="L298" s="151">
        <v>30</v>
      </c>
      <c r="M298" s="153">
        <v>30</v>
      </c>
      <c r="N298" s="151"/>
      <c r="O298" s="153"/>
      <c r="P298" s="151">
        <v>300</v>
      </c>
      <c r="Q298" s="153">
        <v>300</v>
      </c>
      <c r="R298" s="151">
        <v>570</v>
      </c>
      <c r="S298" s="153">
        <v>570</v>
      </c>
      <c r="T298" s="151"/>
      <c r="U298" s="153"/>
      <c r="V298" s="151"/>
      <c r="W298" s="153"/>
      <c r="X298" s="151"/>
      <c r="Y298" s="153"/>
      <c r="Z298" s="61">
        <f t="shared" si="50"/>
        <v>1037</v>
      </c>
      <c r="AA298" s="75">
        <f t="shared" si="51"/>
        <v>1037</v>
      </c>
      <c r="AB298" s="151"/>
      <c r="AC298" s="153"/>
      <c r="AD298" s="151">
        <v>50</v>
      </c>
      <c r="AE298" s="153">
        <v>48</v>
      </c>
      <c r="AF298" s="151">
        <v>180</v>
      </c>
      <c r="AG298" s="153">
        <v>171</v>
      </c>
      <c r="AH298" s="151"/>
      <c r="AI298" s="153"/>
      <c r="AJ298" s="151"/>
      <c r="AK298" s="153"/>
      <c r="AL298" s="151"/>
      <c r="AM298" s="153"/>
      <c r="AN298" s="151"/>
      <c r="AO298" s="153"/>
      <c r="AP298" s="61">
        <f t="shared" si="52"/>
        <v>1267</v>
      </c>
      <c r="AQ298" s="75">
        <f t="shared" si="49"/>
        <v>1256</v>
      </c>
      <c r="AR298" s="150" t="s">
        <v>128</v>
      </c>
    </row>
    <row r="299" spans="1:44" x14ac:dyDescent="0.25">
      <c r="A299" s="4" t="s">
        <v>227</v>
      </c>
      <c r="B299" s="4" t="s">
        <v>97</v>
      </c>
      <c r="C299" s="5" t="s">
        <v>96</v>
      </c>
      <c r="D299" s="151"/>
      <c r="E299" s="153"/>
      <c r="F299" s="151"/>
      <c r="G299" s="153"/>
      <c r="H299" s="151"/>
      <c r="I299" s="153"/>
      <c r="J299" s="151"/>
      <c r="K299" s="153"/>
      <c r="L299" s="151"/>
      <c r="M299" s="153"/>
      <c r="N299" s="151"/>
      <c r="O299" s="153"/>
      <c r="P299" s="151"/>
      <c r="Q299" s="153"/>
      <c r="R299" s="151">
        <v>3600</v>
      </c>
      <c r="S299" s="153">
        <v>4100</v>
      </c>
      <c r="T299" s="151"/>
      <c r="U299" s="153"/>
      <c r="V299" s="151">
        <v>2000</v>
      </c>
      <c r="W299" s="153">
        <v>2000</v>
      </c>
      <c r="X299" s="151"/>
      <c r="Y299" s="153"/>
      <c r="Z299" s="61">
        <f t="shared" si="50"/>
        <v>5600</v>
      </c>
      <c r="AA299" s="75">
        <f t="shared" si="51"/>
        <v>6100</v>
      </c>
      <c r="AB299" s="151"/>
      <c r="AC299" s="153"/>
      <c r="AD299" s="151">
        <v>1700</v>
      </c>
      <c r="AE299" s="153">
        <v>1700</v>
      </c>
      <c r="AF299" s="151"/>
      <c r="AG299" s="153"/>
      <c r="AH299" s="151"/>
      <c r="AI299" s="153"/>
      <c r="AJ299" s="151"/>
      <c r="AK299" s="153"/>
      <c r="AL299" s="151"/>
      <c r="AM299" s="153"/>
      <c r="AN299" s="151"/>
      <c r="AO299" s="153"/>
      <c r="AP299" s="61">
        <f t="shared" si="52"/>
        <v>7300</v>
      </c>
      <c r="AQ299" s="75">
        <f t="shared" si="49"/>
        <v>7800</v>
      </c>
      <c r="AR299" s="150" t="s">
        <v>128</v>
      </c>
    </row>
    <row r="300" spans="1:44" ht="26.25" x14ac:dyDescent="0.25">
      <c r="A300" s="4" t="s">
        <v>227</v>
      </c>
      <c r="B300" s="4" t="s">
        <v>62</v>
      </c>
      <c r="C300" s="5" t="s">
        <v>60</v>
      </c>
      <c r="D300" s="151"/>
      <c r="E300" s="153"/>
      <c r="F300" s="151"/>
      <c r="G300" s="153"/>
      <c r="H300" s="151"/>
      <c r="I300" s="153"/>
      <c r="J300" s="151"/>
      <c r="K300" s="153"/>
      <c r="L300" s="151"/>
      <c r="M300" s="153"/>
      <c r="N300" s="151"/>
      <c r="O300" s="153"/>
      <c r="P300" s="151"/>
      <c r="Q300" s="153"/>
      <c r="R300" s="151">
        <v>600</v>
      </c>
      <c r="S300" s="153">
        <v>1180</v>
      </c>
      <c r="T300" s="151"/>
      <c r="U300" s="153"/>
      <c r="V300" s="151"/>
      <c r="W300" s="153"/>
      <c r="X300" s="151"/>
      <c r="Y300" s="153"/>
      <c r="Z300" s="61">
        <f t="shared" si="50"/>
        <v>600</v>
      </c>
      <c r="AA300" s="75">
        <f t="shared" si="51"/>
        <v>1180</v>
      </c>
      <c r="AB300" s="151"/>
      <c r="AC300" s="153"/>
      <c r="AD300" s="151">
        <v>15761</v>
      </c>
      <c r="AE300" s="153">
        <f>19569-AG300-S300</f>
        <v>16089</v>
      </c>
      <c r="AF300" s="151">
        <v>2500</v>
      </c>
      <c r="AG300" s="153">
        <v>2300</v>
      </c>
      <c r="AH300" s="151"/>
      <c r="AI300" s="153"/>
      <c r="AJ300" s="151"/>
      <c r="AK300" s="153"/>
      <c r="AL300" s="151"/>
      <c r="AM300" s="153"/>
      <c r="AN300" s="151"/>
      <c r="AO300" s="153"/>
      <c r="AP300" s="61">
        <f t="shared" si="52"/>
        <v>18861</v>
      </c>
      <c r="AQ300" s="75">
        <f t="shared" si="49"/>
        <v>19569</v>
      </c>
      <c r="AR300" s="150" t="s">
        <v>171</v>
      </c>
    </row>
    <row r="301" spans="1:44" x14ac:dyDescent="0.25">
      <c r="A301" s="4" t="s">
        <v>227</v>
      </c>
      <c r="B301" s="4" t="s">
        <v>64</v>
      </c>
      <c r="C301" s="5" t="s">
        <v>60</v>
      </c>
      <c r="D301" s="151"/>
      <c r="E301" s="153"/>
      <c r="F301" s="151"/>
      <c r="G301" s="153"/>
      <c r="H301" s="151"/>
      <c r="I301" s="153"/>
      <c r="J301" s="151"/>
      <c r="K301" s="153"/>
      <c r="L301" s="151"/>
      <c r="M301" s="153"/>
      <c r="N301" s="151"/>
      <c r="O301" s="153"/>
      <c r="P301" s="151"/>
      <c r="Q301" s="153"/>
      <c r="R301" s="151"/>
      <c r="S301" s="153"/>
      <c r="T301" s="151"/>
      <c r="U301" s="153"/>
      <c r="V301" s="151"/>
      <c r="W301" s="153"/>
      <c r="X301" s="151"/>
      <c r="Y301" s="153"/>
      <c r="Z301" s="61">
        <f t="shared" si="50"/>
        <v>0</v>
      </c>
      <c r="AA301" s="75">
        <f t="shared" si="51"/>
        <v>0</v>
      </c>
      <c r="AB301" s="151"/>
      <c r="AC301" s="153"/>
      <c r="AD301" s="151">
        <v>30193</v>
      </c>
      <c r="AE301" s="153">
        <v>30153</v>
      </c>
      <c r="AF301" s="151"/>
      <c r="AG301" s="153"/>
      <c r="AH301" s="151"/>
      <c r="AI301" s="153"/>
      <c r="AJ301" s="151"/>
      <c r="AK301" s="153"/>
      <c r="AL301" s="151"/>
      <c r="AM301" s="153"/>
      <c r="AN301" s="151"/>
      <c r="AO301" s="153"/>
      <c r="AP301" s="61">
        <f t="shared" si="52"/>
        <v>30193</v>
      </c>
      <c r="AQ301" s="75">
        <f t="shared" si="49"/>
        <v>30153</v>
      </c>
      <c r="AR301" s="150" t="s">
        <v>171</v>
      </c>
    </row>
    <row r="302" spans="1:44" x14ac:dyDescent="0.25">
      <c r="A302" s="4" t="s">
        <v>227</v>
      </c>
      <c r="B302" s="4" t="s">
        <v>229</v>
      </c>
      <c r="C302" s="5" t="s">
        <v>60</v>
      </c>
      <c r="D302" s="151">
        <v>106603</v>
      </c>
      <c r="E302" s="153">
        <v>107553</v>
      </c>
      <c r="F302" s="151">
        <v>73</v>
      </c>
      <c r="G302" s="153">
        <v>73</v>
      </c>
      <c r="H302" s="151"/>
      <c r="I302" s="153"/>
      <c r="J302" s="151">
        <v>1056</v>
      </c>
      <c r="K302" s="153">
        <v>1056</v>
      </c>
      <c r="L302" s="151">
        <v>3000</v>
      </c>
      <c r="M302" s="153">
        <v>3000</v>
      </c>
      <c r="N302" s="151">
        <v>150</v>
      </c>
      <c r="O302" s="153">
        <v>150</v>
      </c>
      <c r="P302" s="151"/>
      <c r="Q302" s="153"/>
      <c r="R302" s="151">
        <v>2500</v>
      </c>
      <c r="S302" s="153">
        <v>3800</v>
      </c>
      <c r="T302" s="151"/>
      <c r="U302" s="153"/>
      <c r="V302" s="151"/>
      <c r="W302" s="153"/>
      <c r="X302" s="151"/>
      <c r="Y302" s="153"/>
      <c r="Z302" s="61">
        <f t="shared" si="50"/>
        <v>113382</v>
      </c>
      <c r="AA302" s="75">
        <f t="shared" si="51"/>
        <v>115632</v>
      </c>
      <c r="AB302" s="151">
        <v>100</v>
      </c>
      <c r="AC302" s="153"/>
      <c r="AD302" s="151">
        <v>6000</v>
      </c>
      <c r="AE302" s="153">
        <v>5700</v>
      </c>
      <c r="AF302" s="151">
        <v>5000</v>
      </c>
      <c r="AG302" s="153">
        <v>4750</v>
      </c>
      <c r="AH302" s="151"/>
      <c r="AI302" s="153"/>
      <c r="AJ302" s="151"/>
      <c r="AK302" s="153"/>
      <c r="AL302" s="151"/>
      <c r="AM302" s="153"/>
      <c r="AN302" s="151"/>
      <c r="AO302" s="153"/>
      <c r="AP302" s="61">
        <f t="shared" si="52"/>
        <v>124482</v>
      </c>
      <c r="AQ302" s="75">
        <f t="shared" si="49"/>
        <v>126082</v>
      </c>
      <c r="AR302" s="150" t="s">
        <v>167</v>
      </c>
    </row>
    <row r="303" spans="1:44" ht="30" x14ac:dyDescent="0.25">
      <c r="A303" s="4" t="s">
        <v>227</v>
      </c>
      <c r="B303" s="4" t="s">
        <v>100</v>
      </c>
      <c r="C303" s="5" t="s">
        <v>101</v>
      </c>
      <c r="D303" s="151"/>
      <c r="E303" s="153"/>
      <c r="F303" s="151"/>
      <c r="G303" s="153"/>
      <c r="H303" s="151"/>
      <c r="I303" s="153"/>
      <c r="J303" s="151"/>
      <c r="K303" s="153"/>
      <c r="L303" s="151"/>
      <c r="M303" s="153"/>
      <c r="N303" s="151"/>
      <c r="O303" s="153"/>
      <c r="P303" s="151"/>
      <c r="Q303" s="153"/>
      <c r="R303" s="151"/>
      <c r="S303" s="153"/>
      <c r="T303" s="151"/>
      <c r="U303" s="153"/>
      <c r="V303" s="151"/>
      <c r="W303" s="153"/>
      <c r="X303" s="151"/>
      <c r="Y303" s="153"/>
      <c r="Z303" s="61">
        <f t="shared" si="50"/>
        <v>0</v>
      </c>
      <c r="AA303" s="75">
        <f t="shared" si="51"/>
        <v>0</v>
      </c>
      <c r="AB303" s="151"/>
      <c r="AC303" s="153"/>
      <c r="AD303" s="151"/>
      <c r="AE303" s="153"/>
      <c r="AF303" s="151"/>
      <c r="AG303" s="153"/>
      <c r="AH303" s="151"/>
      <c r="AI303" s="153"/>
      <c r="AJ303" s="151"/>
      <c r="AK303" s="153"/>
      <c r="AL303" s="151">
        <v>7783</v>
      </c>
      <c r="AM303" s="153">
        <v>7783</v>
      </c>
      <c r="AN303" s="151"/>
      <c r="AO303" s="153"/>
      <c r="AP303" s="61">
        <f t="shared" si="52"/>
        <v>7783</v>
      </c>
      <c r="AQ303" s="75">
        <f t="shared" si="49"/>
        <v>7783</v>
      </c>
      <c r="AR303" s="150" t="s">
        <v>102</v>
      </c>
    </row>
    <row r="304" spans="1:44" x14ac:dyDescent="0.25">
      <c r="A304" s="4" t="s">
        <v>227</v>
      </c>
      <c r="B304" s="4" t="s">
        <v>105</v>
      </c>
      <c r="C304" s="5"/>
      <c r="D304" s="151">
        <v>3607</v>
      </c>
      <c r="E304" s="153">
        <v>3663</v>
      </c>
      <c r="F304" s="151"/>
      <c r="G304" s="153"/>
      <c r="H304" s="151"/>
      <c r="I304" s="153"/>
      <c r="J304" s="151"/>
      <c r="K304" s="153"/>
      <c r="L304" s="151"/>
      <c r="M304" s="153"/>
      <c r="N304" s="151"/>
      <c r="O304" s="153"/>
      <c r="P304" s="151"/>
      <c r="Q304" s="153"/>
      <c r="R304" s="151"/>
      <c r="S304" s="153"/>
      <c r="T304" s="151"/>
      <c r="U304" s="153"/>
      <c r="V304" s="151"/>
      <c r="W304" s="153"/>
      <c r="X304" s="151"/>
      <c r="Y304" s="153"/>
      <c r="Z304" s="61">
        <f t="shared" si="50"/>
        <v>3607</v>
      </c>
      <c r="AA304" s="75">
        <f t="shared" si="51"/>
        <v>3663</v>
      </c>
      <c r="AB304" s="151"/>
      <c r="AC304" s="153"/>
      <c r="AD304" s="151"/>
      <c r="AE304" s="153"/>
      <c r="AF304" s="151"/>
      <c r="AG304" s="153"/>
      <c r="AH304" s="151"/>
      <c r="AI304" s="153"/>
      <c r="AJ304" s="151"/>
      <c r="AK304" s="153"/>
      <c r="AL304" s="151"/>
      <c r="AM304" s="153"/>
      <c r="AN304" s="151"/>
      <c r="AO304" s="153"/>
      <c r="AP304" s="61">
        <f t="shared" si="52"/>
        <v>3607</v>
      </c>
      <c r="AQ304" s="75">
        <f t="shared" si="49"/>
        <v>3663</v>
      </c>
      <c r="AR304" s="150" t="s">
        <v>58</v>
      </c>
    </row>
    <row r="305" spans="1:44" x14ac:dyDescent="0.25">
      <c r="A305" s="4" t="s">
        <v>227</v>
      </c>
      <c r="B305" s="4" t="s">
        <v>106</v>
      </c>
      <c r="C305" s="5"/>
      <c r="D305" s="151">
        <v>3752</v>
      </c>
      <c r="E305" s="153">
        <v>3815</v>
      </c>
      <c r="F305" s="151"/>
      <c r="G305" s="153"/>
      <c r="H305" s="151"/>
      <c r="I305" s="153"/>
      <c r="J305" s="151"/>
      <c r="K305" s="153"/>
      <c r="L305" s="151"/>
      <c r="M305" s="153"/>
      <c r="N305" s="151"/>
      <c r="O305" s="153"/>
      <c r="P305" s="151"/>
      <c r="Q305" s="153"/>
      <c r="R305" s="151"/>
      <c r="S305" s="153"/>
      <c r="T305" s="151"/>
      <c r="U305" s="153"/>
      <c r="V305" s="151"/>
      <c r="W305" s="153"/>
      <c r="X305" s="151"/>
      <c r="Y305" s="153"/>
      <c r="Z305" s="61">
        <f t="shared" si="50"/>
        <v>3752</v>
      </c>
      <c r="AA305" s="75">
        <f t="shared" si="51"/>
        <v>3815</v>
      </c>
      <c r="AB305" s="151"/>
      <c r="AC305" s="153"/>
      <c r="AD305" s="151"/>
      <c r="AE305" s="153"/>
      <c r="AF305" s="151"/>
      <c r="AG305" s="153"/>
      <c r="AH305" s="151"/>
      <c r="AI305" s="153"/>
      <c r="AJ305" s="151"/>
      <c r="AK305" s="153"/>
      <c r="AL305" s="151"/>
      <c r="AM305" s="153"/>
      <c r="AN305" s="151"/>
      <c r="AO305" s="153"/>
      <c r="AP305" s="61">
        <f t="shared" si="52"/>
        <v>3752</v>
      </c>
      <c r="AQ305" s="75">
        <f t="shared" si="49"/>
        <v>3815</v>
      </c>
      <c r="AR305" s="150" t="s">
        <v>58</v>
      </c>
    </row>
    <row r="306" spans="1:44" x14ac:dyDescent="0.25">
      <c r="A306" s="16" t="s">
        <v>230</v>
      </c>
      <c r="B306" s="16" t="s">
        <v>108</v>
      </c>
      <c r="C306" s="17"/>
      <c r="D306" s="18">
        <f t="shared" ref="D306:AP306" si="53">SUM(D288:D305)</f>
        <v>191572</v>
      </c>
      <c r="E306" s="105">
        <f t="shared" si="53"/>
        <v>190624</v>
      </c>
      <c r="F306" s="18">
        <f t="shared" si="53"/>
        <v>2370</v>
      </c>
      <c r="G306" s="18">
        <f t="shared" si="53"/>
        <v>2280</v>
      </c>
      <c r="H306" s="18">
        <f t="shared" si="53"/>
        <v>0</v>
      </c>
      <c r="I306" s="18">
        <f t="shared" si="53"/>
        <v>0</v>
      </c>
      <c r="J306" s="18">
        <f t="shared" si="53"/>
        <v>4075</v>
      </c>
      <c r="K306" s="18">
        <f t="shared" si="53"/>
        <v>4075</v>
      </c>
      <c r="L306" s="18">
        <f t="shared" si="53"/>
        <v>15230</v>
      </c>
      <c r="M306" s="18">
        <f t="shared" si="53"/>
        <v>16008</v>
      </c>
      <c r="N306" s="18">
        <f t="shared" si="53"/>
        <v>2230</v>
      </c>
      <c r="O306" s="18">
        <f t="shared" si="53"/>
        <v>2230</v>
      </c>
      <c r="P306" s="18">
        <f t="shared" si="53"/>
        <v>15300</v>
      </c>
      <c r="Q306" s="18">
        <f t="shared" si="53"/>
        <v>14750</v>
      </c>
      <c r="R306" s="18">
        <f t="shared" si="53"/>
        <v>16970</v>
      </c>
      <c r="S306" s="18">
        <f t="shared" si="53"/>
        <v>16880</v>
      </c>
      <c r="T306" s="18">
        <f t="shared" si="53"/>
        <v>5066</v>
      </c>
      <c r="U306" s="18">
        <f t="shared" si="53"/>
        <v>4295</v>
      </c>
      <c r="V306" s="18">
        <f t="shared" si="53"/>
        <v>2000</v>
      </c>
      <c r="W306" s="18">
        <f t="shared" si="53"/>
        <v>2000</v>
      </c>
      <c r="X306" s="18">
        <f t="shared" si="53"/>
        <v>0</v>
      </c>
      <c r="Y306" s="18">
        <f t="shared" si="53"/>
        <v>0</v>
      </c>
      <c r="Z306" s="18">
        <f t="shared" si="53"/>
        <v>254813</v>
      </c>
      <c r="AA306" s="18">
        <f t="shared" si="53"/>
        <v>253142</v>
      </c>
      <c r="AB306" s="18">
        <f t="shared" si="53"/>
        <v>220</v>
      </c>
      <c r="AC306" s="18">
        <f t="shared" si="53"/>
        <v>150</v>
      </c>
      <c r="AD306" s="18">
        <f t="shared" si="53"/>
        <v>71404</v>
      </c>
      <c r="AE306" s="18">
        <f t="shared" si="53"/>
        <v>70973</v>
      </c>
      <c r="AF306" s="18">
        <f t="shared" si="53"/>
        <v>27069</v>
      </c>
      <c r="AG306" s="18">
        <f t="shared" si="53"/>
        <v>26393</v>
      </c>
      <c r="AH306" s="18">
        <f t="shared" si="53"/>
        <v>1546</v>
      </c>
      <c r="AI306" s="18">
        <f t="shared" si="53"/>
        <v>1436</v>
      </c>
      <c r="AJ306" s="18">
        <f t="shared" si="53"/>
        <v>0</v>
      </c>
      <c r="AK306" s="18">
        <f t="shared" si="53"/>
        <v>0</v>
      </c>
      <c r="AL306" s="18">
        <f t="shared" si="53"/>
        <v>7783</v>
      </c>
      <c r="AM306" s="18">
        <f t="shared" si="53"/>
        <v>7783</v>
      </c>
      <c r="AN306" s="18">
        <f t="shared" si="53"/>
        <v>0</v>
      </c>
      <c r="AO306" s="18">
        <f t="shared" si="53"/>
        <v>0</v>
      </c>
      <c r="AP306" s="18">
        <f t="shared" si="53"/>
        <v>362835</v>
      </c>
      <c r="AQ306" s="75">
        <f t="shared" si="49"/>
        <v>359877</v>
      </c>
      <c r="AR306" s="150"/>
    </row>
    <row r="307" spans="1:44" x14ac:dyDescent="0.25">
      <c r="A307" s="4" t="s">
        <v>231</v>
      </c>
      <c r="B307" s="4" t="s">
        <v>56</v>
      </c>
      <c r="C307" s="5" t="s">
        <v>57</v>
      </c>
      <c r="D307" s="151">
        <v>49924</v>
      </c>
      <c r="E307" s="153">
        <v>48586</v>
      </c>
      <c r="F307" s="151">
        <v>370</v>
      </c>
      <c r="G307" s="153">
        <v>370</v>
      </c>
      <c r="H307" s="151"/>
      <c r="I307" s="153"/>
      <c r="J307" s="151">
        <v>180</v>
      </c>
      <c r="K307" s="153">
        <v>160</v>
      </c>
      <c r="L307" s="151">
        <v>1076</v>
      </c>
      <c r="M307" s="153">
        <v>1076</v>
      </c>
      <c r="N307" s="151">
        <v>220</v>
      </c>
      <c r="O307" s="153">
        <v>220</v>
      </c>
      <c r="P307" s="151">
        <v>1330</v>
      </c>
      <c r="Q307" s="153">
        <v>1330</v>
      </c>
      <c r="R307" s="151">
        <v>3950</v>
      </c>
      <c r="S307" s="153">
        <v>3850</v>
      </c>
      <c r="T307" s="151"/>
      <c r="U307" s="153"/>
      <c r="V307" s="151"/>
      <c r="W307" s="153"/>
      <c r="X307" s="151"/>
      <c r="Y307" s="153"/>
      <c r="Z307" s="61">
        <f t="shared" ref="Z307:Z336" si="54">D307+F307+H307+J307+L307+P307+R307+T307+V307+X307+N307</f>
        <v>57050</v>
      </c>
      <c r="AA307" s="75">
        <f t="shared" ref="AA307:AA336" si="55">E307+G307+I307+K307+M307+Q307+S307+U307+W307+Y307+O307</f>
        <v>55592</v>
      </c>
      <c r="AB307" s="151">
        <v>300</v>
      </c>
      <c r="AC307" s="153">
        <v>50</v>
      </c>
      <c r="AD307" s="151">
        <v>5800</v>
      </c>
      <c r="AE307" s="153">
        <v>6600</v>
      </c>
      <c r="AF307" s="151">
        <v>4500</v>
      </c>
      <c r="AG307" s="153">
        <v>4200</v>
      </c>
      <c r="AH307" s="151"/>
      <c r="AI307" s="153"/>
      <c r="AJ307" s="151"/>
      <c r="AK307" s="153"/>
      <c r="AL307" s="151"/>
      <c r="AM307" s="153"/>
      <c r="AN307" s="151">
        <v>286</v>
      </c>
      <c r="AO307" s="153">
        <v>286</v>
      </c>
      <c r="AP307" s="61">
        <f t="shared" ref="AP307:AP336" si="56">Z307+AB307+AD307+AF307+AH307+AJ307+AL307+AN307</f>
        <v>67936</v>
      </c>
      <c r="AQ307" s="75">
        <f t="shared" si="49"/>
        <v>66728</v>
      </c>
      <c r="AR307" s="150" t="s">
        <v>58</v>
      </c>
    </row>
    <row r="308" spans="1:44" x14ac:dyDescent="0.25">
      <c r="A308" s="4" t="s">
        <v>231</v>
      </c>
      <c r="B308" s="4" t="s">
        <v>98</v>
      </c>
      <c r="C308" s="5" t="s">
        <v>99</v>
      </c>
      <c r="D308" s="151"/>
      <c r="E308" s="153"/>
      <c r="F308" s="151">
        <v>206</v>
      </c>
      <c r="G308" s="153">
        <v>206</v>
      </c>
      <c r="H308" s="151"/>
      <c r="I308" s="153"/>
      <c r="J308" s="151">
        <v>40</v>
      </c>
      <c r="K308" s="153">
        <v>30</v>
      </c>
      <c r="L308" s="151">
        <v>140</v>
      </c>
      <c r="M308" s="153">
        <v>140</v>
      </c>
      <c r="N308" s="151">
        <v>30</v>
      </c>
      <c r="O308" s="153">
        <v>30</v>
      </c>
      <c r="P308" s="151">
        <v>110</v>
      </c>
      <c r="Q308" s="153">
        <v>110</v>
      </c>
      <c r="R308" s="151">
        <v>500</v>
      </c>
      <c r="S308" s="153">
        <v>300</v>
      </c>
      <c r="T308" s="151"/>
      <c r="U308" s="153"/>
      <c r="V308" s="151"/>
      <c r="W308" s="153"/>
      <c r="X308" s="151"/>
      <c r="Y308" s="153"/>
      <c r="Z308" s="61">
        <f t="shared" si="54"/>
        <v>1026</v>
      </c>
      <c r="AA308" s="75">
        <f t="shared" si="55"/>
        <v>816</v>
      </c>
      <c r="AB308" s="151">
        <v>60</v>
      </c>
      <c r="AC308" s="153">
        <v>40</v>
      </c>
      <c r="AD308" s="151">
        <v>150</v>
      </c>
      <c r="AE308" s="153">
        <v>100</v>
      </c>
      <c r="AF308" s="151">
        <v>120</v>
      </c>
      <c r="AG308" s="153">
        <v>100</v>
      </c>
      <c r="AH308" s="151"/>
      <c r="AI308" s="153"/>
      <c r="AJ308" s="151"/>
      <c r="AK308" s="153"/>
      <c r="AL308" s="151"/>
      <c r="AM308" s="153"/>
      <c r="AN308" s="151"/>
      <c r="AO308" s="153"/>
      <c r="AP308" s="61">
        <f t="shared" si="56"/>
        <v>1356</v>
      </c>
      <c r="AQ308" s="75">
        <f t="shared" si="49"/>
        <v>1056</v>
      </c>
      <c r="AR308" s="150" t="s">
        <v>58</v>
      </c>
    </row>
    <row r="309" spans="1:44" ht="26.25" x14ac:dyDescent="0.25">
      <c r="A309" s="4" t="s">
        <v>231</v>
      </c>
      <c r="B309" s="4" t="s">
        <v>65</v>
      </c>
      <c r="C309" s="5" t="s">
        <v>60</v>
      </c>
      <c r="D309" s="151">
        <v>101540</v>
      </c>
      <c r="E309" s="153">
        <v>124786</v>
      </c>
      <c r="F309" s="151"/>
      <c r="G309" s="153"/>
      <c r="H309" s="151"/>
      <c r="I309" s="153"/>
      <c r="J309" s="151">
        <v>150</v>
      </c>
      <c r="K309" s="153">
        <v>100</v>
      </c>
      <c r="L309" s="151">
        <v>895</v>
      </c>
      <c r="M309" s="153">
        <v>895</v>
      </c>
      <c r="N309" s="151">
        <v>378</v>
      </c>
      <c r="O309" s="153">
        <v>378</v>
      </c>
      <c r="P309" s="151"/>
      <c r="Q309" s="153"/>
      <c r="R309" s="151">
        <v>3878</v>
      </c>
      <c r="S309" s="153">
        <v>3600</v>
      </c>
      <c r="T309" s="151"/>
      <c r="U309" s="153"/>
      <c r="V309" s="151"/>
      <c r="W309" s="153"/>
      <c r="X309" s="151"/>
      <c r="Y309" s="153"/>
      <c r="Z309" s="61">
        <f t="shared" si="54"/>
        <v>106841</v>
      </c>
      <c r="AA309" s="75">
        <f t="shared" si="55"/>
        <v>129759</v>
      </c>
      <c r="AB309" s="151"/>
      <c r="AC309" s="153"/>
      <c r="AD309" s="151">
        <v>4000</v>
      </c>
      <c r="AE309" s="153">
        <v>4000</v>
      </c>
      <c r="AF309" s="151">
        <v>4600</v>
      </c>
      <c r="AG309" s="153">
        <v>4600</v>
      </c>
      <c r="AH309" s="151"/>
      <c r="AI309" s="153"/>
      <c r="AJ309" s="151"/>
      <c r="AK309" s="153"/>
      <c r="AL309" s="151"/>
      <c r="AM309" s="153"/>
      <c r="AN309" s="151"/>
      <c r="AO309" s="153"/>
      <c r="AP309" s="61">
        <f t="shared" si="56"/>
        <v>115441</v>
      </c>
      <c r="AQ309" s="75">
        <f t="shared" si="49"/>
        <v>138359</v>
      </c>
      <c r="AR309" s="150" t="s">
        <v>167</v>
      </c>
    </row>
    <row r="310" spans="1:44" x14ac:dyDescent="0.25">
      <c r="A310" s="4" t="s">
        <v>231</v>
      </c>
      <c r="B310" s="4" t="s">
        <v>232</v>
      </c>
      <c r="C310" s="5" t="s">
        <v>60</v>
      </c>
      <c r="D310" s="151"/>
      <c r="E310" s="153"/>
      <c r="F310" s="151"/>
      <c r="G310" s="153"/>
      <c r="H310" s="151"/>
      <c r="I310" s="153"/>
      <c r="J310" s="151"/>
      <c r="K310" s="153"/>
      <c r="L310" s="151"/>
      <c r="M310" s="153"/>
      <c r="N310" s="151"/>
      <c r="O310" s="153"/>
      <c r="P310" s="151"/>
      <c r="Q310" s="153"/>
      <c r="R310" s="151">
        <v>240</v>
      </c>
      <c r="S310" s="153">
        <v>240</v>
      </c>
      <c r="T310" s="151"/>
      <c r="U310" s="153"/>
      <c r="V310" s="151"/>
      <c r="W310" s="153"/>
      <c r="X310" s="151"/>
      <c r="Y310" s="153"/>
      <c r="Z310" s="61">
        <f t="shared" si="54"/>
        <v>240</v>
      </c>
      <c r="AA310" s="75">
        <f t="shared" si="55"/>
        <v>240</v>
      </c>
      <c r="AB310" s="151"/>
      <c r="AC310" s="153"/>
      <c r="AD310" s="151">
        <v>180</v>
      </c>
      <c r="AE310" s="153">
        <v>120</v>
      </c>
      <c r="AF310" s="151">
        <v>400</v>
      </c>
      <c r="AG310" s="153">
        <v>200</v>
      </c>
      <c r="AH310" s="151"/>
      <c r="AI310" s="153"/>
      <c r="AJ310" s="151"/>
      <c r="AK310" s="153"/>
      <c r="AL310" s="151"/>
      <c r="AM310" s="153"/>
      <c r="AN310" s="151"/>
      <c r="AO310" s="153"/>
      <c r="AP310" s="61">
        <f t="shared" si="56"/>
        <v>820</v>
      </c>
      <c r="AQ310" s="75">
        <f t="shared" si="49"/>
        <v>560</v>
      </c>
      <c r="AR310" s="150" t="s">
        <v>161</v>
      </c>
    </row>
    <row r="311" spans="1:44" ht="26.25" x14ac:dyDescent="0.25">
      <c r="A311" s="4" t="s">
        <v>231</v>
      </c>
      <c r="B311" s="4" t="s">
        <v>62</v>
      </c>
      <c r="C311" s="5" t="s">
        <v>60</v>
      </c>
      <c r="D311" s="151"/>
      <c r="E311" s="153"/>
      <c r="F311" s="151"/>
      <c r="G311" s="153"/>
      <c r="H311" s="151"/>
      <c r="I311" s="153"/>
      <c r="J311" s="151"/>
      <c r="K311" s="153"/>
      <c r="L311" s="151"/>
      <c r="M311" s="153"/>
      <c r="N311" s="151"/>
      <c r="O311" s="153"/>
      <c r="P311" s="151"/>
      <c r="Q311" s="153"/>
      <c r="R311" s="151">
        <v>3890</v>
      </c>
      <c r="S311" s="153">
        <v>3890</v>
      </c>
      <c r="T311" s="151"/>
      <c r="U311" s="153"/>
      <c r="V311" s="151"/>
      <c r="W311" s="153"/>
      <c r="X311" s="151"/>
      <c r="Y311" s="153"/>
      <c r="Z311" s="61">
        <f t="shared" si="54"/>
        <v>3890</v>
      </c>
      <c r="AA311" s="75">
        <f t="shared" si="55"/>
        <v>3890</v>
      </c>
      <c r="AB311" s="151"/>
      <c r="AC311" s="153"/>
      <c r="AD311" s="151">
        <v>12586</v>
      </c>
      <c r="AE311" s="153">
        <f>18936-AG311-S311</f>
        <v>12586</v>
      </c>
      <c r="AF311" s="151">
        <v>2000</v>
      </c>
      <c r="AG311" s="153">
        <v>2460</v>
      </c>
      <c r="AH311" s="151"/>
      <c r="AI311" s="153"/>
      <c r="AJ311" s="151"/>
      <c r="AK311" s="153"/>
      <c r="AL311" s="151"/>
      <c r="AM311" s="153"/>
      <c r="AN311" s="151"/>
      <c r="AO311" s="153"/>
      <c r="AP311" s="61">
        <f t="shared" si="56"/>
        <v>18476</v>
      </c>
      <c r="AQ311" s="75">
        <f t="shared" si="49"/>
        <v>18936</v>
      </c>
      <c r="AR311" s="150" t="s">
        <v>171</v>
      </c>
    </row>
    <row r="312" spans="1:44" x14ac:dyDescent="0.25">
      <c r="A312" s="4" t="s">
        <v>231</v>
      </c>
      <c r="B312" s="4" t="s">
        <v>64</v>
      </c>
      <c r="C312" s="5" t="s">
        <v>60</v>
      </c>
      <c r="D312" s="151"/>
      <c r="E312" s="153"/>
      <c r="F312" s="151"/>
      <c r="G312" s="153"/>
      <c r="H312" s="151"/>
      <c r="I312" s="153"/>
      <c r="J312" s="151"/>
      <c r="K312" s="153"/>
      <c r="L312" s="151"/>
      <c r="M312" s="153"/>
      <c r="N312" s="151"/>
      <c r="O312" s="153"/>
      <c r="P312" s="151"/>
      <c r="Q312" s="153"/>
      <c r="R312" s="151"/>
      <c r="S312" s="153"/>
      <c r="T312" s="151"/>
      <c r="U312" s="153"/>
      <c r="V312" s="151"/>
      <c r="W312" s="153"/>
      <c r="X312" s="151"/>
      <c r="Y312" s="153"/>
      <c r="Z312" s="61">
        <f t="shared" si="54"/>
        <v>0</v>
      </c>
      <c r="AA312" s="75">
        <f t="shared" si="55"/>
        <v>0</v>
      </c>
      <c r="AB312" s="151"/>
      <c r="AC312" s="153"/>
      <c r="AD312" s="151">
        <v>29576</v>
      </c>
      <c r="AE312" s="153">
        <v>29177</v>
      </c>
      <c r="AF312" s="151"/>
      <c r="AG312" s="153"/>
      <c r="AH312" s="151"/>
      <c r="AI312" s="153"/>
      <c r="AJ312" s="151"/>
      <c r="AK312" s="153"/>
      <c r="AL312" s="151"/>
      <c r="AM312" s="153"/>
      <c r="AN312" s="151"/>
      <c r="AO312" s="153"/>
      <c r="AP312" s="61">
        <f t="shared" si="56"/>
        <v>29576</v>
      </c>
      <c r="AQ312" s="75">
        <f t="shared" si="49"/>
        <v>29177</v>
      </c>
      <c r="AR312" s="150" t="s">
        <v>171</v>
      </c>
    </row>
    <row r="313" spans="1:44" x14ac:dyDescent="0.25">
      <c r="A313" s="4" t="s">
        <v>231</v>
      </c>
      <c r="B313" s="4" t="s">
        <v>131</v>
      </c>
      <c r="C313" s="5" t="s">
        <v>67</v>
      </c>
      <c r="D313" s="151">
        <v>13655</v>
      </c>
      <c r="E313" s="153">
        <v>14015</v>
      </c>
      <c r="F313" s="151">
        <v>10</v>
      </c>
      <c r="G313" s="153">
        <v>10</v>
      </c>
      <c r="H313" s="151"/>
      <c r="I313" s="153"/>
      <c r="J313" s="151">
        <v>56</v>
      </c>
      <c r="K313" s="153">
        <v>50</v>
      </c>
      <c r="L313" s="151">
        <v>350</v>
      </c>
      <c r="M313" s="153">
        <v>350</v>
      </c>
      <c r="N313" s="151">
        <v>35</v>
      </c>
      <c r="O313" s="153">
        <v>35</v>
      </c>
      <c r="P313" s="151">
        <v>280</v>
      </c>
      <c r="Q313" s="153">
        <v>280</v>
      </c>
      <c r="R313" s="151">
        <v>775</v>
      </c>
      <c r="S313" s="153">
        <v>750</v>
      </c>
      <c r="T313" s="151"/>
      <c r="U313" s="153"/>
      <c r="V313" s="151"/>
      <c r="W313" s="153"/>
      <c r="X313" s="151"/>
      <c r="Y313" s="153"/>
      <c r="Z313" s="61">
        <f t="shared" si="54"/>
        <v>15161</v>
      </c>
      <c r="AA313" s="75">
        <f t="shared" si="55"/>
        <v>15490</v>
      </c>
      <c r="AB313" s="151">
        <v>50</v>
      </c>
      <c r="AC313" s="153">
        <v>40</v>
      </c>
      <c r="AD313" s="151">
        <v>1100</v>
      </c>
      <c r="AE313" s="153">
        <v>900</v>
      </c>
      <c r="AF313" s="151">
        <v>800</v>
      </c>
      <c r="AG313" s="153">
        <v>800</v>
      </c>
      <c r="AH313" s="151"/>
      <c r="AI313" s="153"/>
      <c r="AJ313" s="151"/>
      <c r="AK313" s="153"/>
      <c r="AL313" s="151"/>
      <c r="AM313" s="153"/>
      <c r="AN313" s="151"/>
      <c r="AO313" s="153"/>
      <c r="AP313" s="61">
        <f t="shared" si="56"/>
        <v>17111</v>
      </c>
      <c r="AQ313" s="75">
        <f t="shared" si="49"/>
        <v>17230</v>
      </c>
      <c r="AR313" s="150" t="s">
        <v>68</v>
      </c>
    </row>
    <row r="314" spans="1:44" x14ac:dyDescent="0.25">
      <c r="A314" s="4" t="s">
        <v>231</v>
      </c>
      <c r="B314" s="4" t="s">
        <v>233</v>
      </c>
      <c r="C314" s="5" t="s">
        <v>70</v>
      </c>
      <c r="D314" s="151">
        <v>1698</v>
      </c>
      <c r="E314" s="153">
        <v>1780</v>
      </c>
      <c r="F314" s="151"/>
      <c r="G314" s="153"/>
      <c r="H314" s="151"/>
      <c r="I314" s="153"/>
      <c r="J314" s="151">
        <v>420</v>
      </c>
      <c r="K314" s="153">
        <v>350</v>
      </c>
      <c r="L314" s="151">
        <v>1450</v>
      </c>
      <c r="M314" s="153">
        <v>1450</v>
      </c>
      <c r="N314" s="151">
        <v>40</v>
      </c>
      <c r="O314" s="153">
        <v>40</v>
      </c>
      <c r="P314" s="151"/>
      <c r="Q314" s="153"/>
      <c r="R314" s="151">
        <v>400</v>
      </c>
      <c r="S314" s="153">
        <v>300</v>
      </c>
      <c r="T314" s="151"/>
      <c r="U314" s="153"/>
      <c r="V314" s="151"/>
      <c r="W314" s="153"/>
      <c r="X314" s="151"/>
      <c r="Y314" s="153"/>
      <c r="Z314" s="61">
        <f t="shared" si="54"/>
        <v>4008</v>
      </c>
      <c r="AA314" s="75">
        <f t="shared" si="55"/>
        <v>3920</v>
      </c>
      <c r="AB314" s="151"/>
      <c r="AC314" s="153"/>
      <c r="AD314" s="151">
        <v>1050</v>
      </c>
      <c r="AE314" s="153">
        <v>950</v>
      </c>
      <c r="AF314" s="151">
        <v>2314</v>
      </c>
      <c r="AG314" s="153">
        <v>1800</v>
      </c>
      <c r="AH314" s="151"/>
      <c r="AI314" s="153"/>
      <c r="AJ314" s="151"/>
      <c r="AK314" s="153"/>
      <c r="AL314" s="151"/>
      <c r="AM314" s="153"/>
      <c r="AN314" s="151"/>
      <c r="AO314" s="153"/>
      <c r="AP314" s="61">
        <f t="shared" si="56"/>
        <v>7372</v>
      </c>
      <c r="AQ314" s="75">
        <f t="shared" si="49"/>
        <v>6670</v>
      </c>
      <c r="AR314" s="150" t="s">
        <v>71</v>
      </c>
    </row>
    <row r="315" spans="1:44" x14ac:dyDescent="0.25">
      <c r="A315" s="4" t="s">
        <v>231</v>
      </c>
      <c r="B315" s="4" t="s">
        <v>234</v>
      </c>
      <c r="C315" s="5" t="s">
        <v>70</v>
      </c>
      <c r="D315" s="151">
        <v>9485</v>
      </c>
      <c r="E315" s="153">
        <v>9729</v>
      </c>
      <c r="F315" s="151">
        <v>5</v>
      </c>
      <c r="G315" s="153">
        <v>5</v>
      </c>
      <c r="H315" s="151"/>
      <c r="I315" s="153"/>
      <c r="J315" s="151">
        <v>1070</v>
      </c>
      <c r="K315" s="153">
        <v>1000</v>
      </c>
      <c r="L315" s="151">
        <v>3030</v>
      </c>
      <c r="M315" s="153">
        <v>3030</v>
      </c>
      <c r="N315" s="151">
        <v>80</v>
      </c>
      <c r="O315" s="153">
        <v>80</v>
      </c>
      <c r="P315" s="151">
        <v>1731</v>
      </c>
      <c r="Q315" s="153">
        <v>1731</v>
      </c>
      <c r="R315" s="151"/>
      <c r="S315" s="153"/>
      <c r="T315" s="151"/>
      <c r="U315" s="153"/>
      <c r="V315" s="151"/>
      <c r="W315" s="153"/>
      <c r="X315" s="151"/>
      <c r="Y315" s="153"/>
      <c r="Z315" s="61">
        <f t="shared" si="54"/>
        <v>15401</v>
      </c>
      <c r="AA315" s="75">
        <f t="shared" si="55"/>
        <v>15575</v>
      </c>
      <c r="AB315" s="151"/>
      <c r="AC315" s="153"/>
      <c r="AD315" s="151">
        <v>1050</v>
      </c>
      <c r="AE315" s="153">
        <v>1000</v>
      </c>
      <c r="AF315" s="151">
        <v>2105</v>
      </c>
      <c r="AG315" s="153">
        <v>2100</v>
      </c>
      <c r="AH315" s="151"/>
      <c r="AI315" s="153"/>
      <c r="AJ315" s="151"/>
      <c r="AK315" s="153"/>
      <c r="AL315" s="151"/>
      <c r="AM315" s="153"/>
      <c r="AN315" s="151"/>
      <c r="AO315" s="153"/>
      <c r="AP315" s="61">
        <f t="shared" si="56"/>
        <v>18556</v>
      </c>
      <c r="AQ315" s="75">
        <f t="shared" si="49"/>
        <v>18675</v>
      </c>
      <c r="AR315" s="150" t="s">
        <v>128</v>
      </c>
    </row>
    <row r="316" spans="1:44" x14ac:dyDescent="0.25">
      <c r="A316" s="4" t="s">
        <v>231</v>
      </c>
      <c r="B316" s="4" t="s">
        <v>235</v>
      </c>
      <c r="C316" s="5" t="s">
        <v>79</v>
      </c>
      <c r="D316" s="151">
        <v>6031</v>
      </c>
      <c r="E316" s="153">
        <v>6303</v>
      </c>
      <c r="F316" s="151">
        <v>161</v>
      </c>
      <c r="G316" s="153">
        <v>161</v>
      </c>
      <c r="H316" s="151"/>
      <c r="I316" s="153"/>
      <c r="J316" s="151">
        <v>164</v>
      </c>
      <c r="K316" s="153">
        <v>160</v>
      </c>
      <c r="L316" s="151">
        <v>1625</v>
      </c>
      <c r="M316" s="153">
        <v>1625</v>
      </c>
      <c r="N316" s="151">
        <v>20</v>
      </c>
      <c r="O316" s="153">
        <v>20</v>
      </c>
      <c r="P316" s="151">
        <v>1356</v>
      </c>
      <c r="Q316" s="153">
        <v>1356</v>
      </c>
      <c r="R316" s="151">
        <v>350</v>
      </c>
      <c r="S316" s="153">
        <v>350</v>
      </c>
      <c r="T316" s="151"/>
      <c r="U316" s="153"/>
      <c r="V316" s="151"/>
      <c r="W316" s="153"/>
      <c r="X316" s="151"/>
      <c r="Y316" s="153"/>
      <c r="Z316" s="61">
        <f t="shared" si="54"/>
        <v>9707</v>
      </c>
      <c r="AA316" s="75">
        <f t="shared" si="55"/>
        <v>9975</v>
      </c>
      <c r="AB316" s="151">
        <v>50</v>
      </c>
      <c r="AC316" s="153">
        <v>40</v>
      </c>
      <c r="AD316" s="151">
        <v>3000</v>
      </c>
      <c r="AE316" s="153">
        <v>2000</v>
      </c>
      <c r="AF316" s="151">
        <v>2300</v>
      </c>
      <c r="AG316" s="153">
        <v>2000</v>
      </c>
      <c r="AH316" s="151"/>
      <c r="AI316" s="153"/>
      <c r="AJ316" s="151"/>
      <c r="AK316" s="153"/>
      <c r="AL316" s="151"/>
      <c r="AM316" s="153"/>
      <c r="AN316" s="151"/>
      <c r="AO316" s="153"/>
      <c r="AP316" s="61">
        <f t="shared" si="56"/>
        <v>15057</v>
      </c>
      <c r="AQ316" s="75">
        <f t="shared" si="49"/>
        <v>14015</v>
      </c>
      <c r="AR316" s="150" t="s">
        <v>80</v>
      </c>
    </row>
    <row r="317" spans="1:44" x14ac:dyDescent="0.25">
      <c r="A317" s="4" t="s">
        <v>231</v>
      </c>
      <c r="B317" s="4" t="s">
        <v>126</v>
      </c>
      <c r="C317" s="5" t="s">
        <v>73</v>
      </c>
      <c r="D317" s="151">
        <v>8741</v>
      </c>
      <c r="E317" s="153">
        <v>9314</v>
      </c>
      <c r="F317" s="151">
        <v>50</v>
      </c>
      <c r="G317" s="153">
        <v>50</v>
      </c>
      <c r="H317" s="151"/>
      <c r="I317" s="153"/>
      <c r="J317" s="151">
        <v>80</v>
      </c>
      <c r="K317" s="153">
        <v>60</v>
      </c>
      <c r="L317" s="151">
        <v>460</v>
      </c>
      <c r="M317" s="153">
        <v>460</v>
      </c>
      <c r="N317" s="151">
        <v>106</v>
      </c>
      <c r="O317" s="153">
        <v>106</v>
      </c>
      <c r="P317" s="151">
        <v>706</v>
      </c>
      <c r="Q317" s="153">
        <v>706</v>
      </c>
      <c r="R317" s="151"/>
      <c r="S317" s="153"/>
      <c r="T317" s="151"/>
      <c r="U317" s="153"/>
      <c r="V317" s="151"/>
      <c r="W317" s="153"/>
      <c r="X317" s="151"/>
      <c r="Y317" s="153"/>
      <c r="Z317" s="61">
        <f t="shared" si="54"/>
        <v>10143</v>
      </c>
      <c r="AA317" s="75">
        <f t="shared" si="55"/>
        <v>10696</v>
      </c>
      <c r="AB317" s="151">
        <v>30</v>
      </c>
      <c r="AC317" s="153">
        <v>30</v>
      </c>
      <c r="AD317" s="151">
        <v>300</v>
      </c>
      <c r="AE317" s="153">
        <v>300</v>
      </c>
      <c r="AF317" s="151">
        <v>450</v>
      </c>
      <c r="AG317" s="153">
        <v>500</v>
      </c>
      <c r="AH317" s="151">
        <v>1892</v>
      </c>
      <c r="AI317" s="153">
        <v>1851</v>
      </c>
      <c r="AJ317" s="151"/>
      <c r="AK317" s="153"/>
      <c r="AL317" s="151"/>
      <c r="AM317" s="153"/>
      <c r="AN317" s="151"/>
      <c r="AO317" s="153"/>
      <c r="AP317" s="61">
        <f t="shared" si="56"/>
        <v>12815</v>
      </c>
      <c r="AQ317" s="75">
        <f t="shared" si="49"/>
        <v>13377</v>
      </c>
      <c r="AR317" s="150" t="s">
        <v>80</v>
      </c>
    </row>
    <row r="318" spans="1:44" x14ac:dyDescent="0.25">
      <c r="A318" s="4" t="s">
        <v>231</v>
      </c>
      <c r="B318" s="4" t="s">
        <v>236</v>
      </c>
      <c r="C318" s="5" t="s">
        <v>73</v>
      </c>
      <c r="D318" s="151"/>
      <c r="E318" s="153"/>
      <c r="F318" s="151"/>
      <c r="G318" s="153"/>
      <c r="H318" s="151"/>
      <c r="I318" s="153"/>
      <c r="J318" s="151"/>
      <c r="K318" s="153"/>
      <c r="L318" s="151">
        <v>582</v>
      </c>
      <c r="M318" s="153">
        <v>582</v>
      </c>
      <c r="N318" s="151">
        <v>20</v>
      </c>
      <c r="O318" s="153">
        <v>20</v>
      </c>
      <c r="P318" s="151"/>
      <c r="Q318" s="153"/>
      <c r="R318" s="151">
        <v>994</v>
      </c>
      <c r="S318" s="153">
        <v>950</v>
      </c>
      <c r="T318" s="151"/>
      <c r="U318" s="153"/>
      <c r="V318" s="151"/>
      <c r="W318" s="153"/>
      <c r="X318" s="151"/>
      <c r="Y318" s="153"/>
      <c r="Z318" s="61">
        <f t="shared" si="54"/>
        <v>1596</v>
      </c>
      <c r="AA318" s="75">
        <f t="shared" si="55"/>
        <v>1552</v>
      </c>
      <c r="AB318" s="151"/>
      <c r="AC318" s="153"/>
      <c r="AD318" s="151">
        <v>750</v>
      </c>
      <c r="AE318" s="153">
        <v>400</v>
      </c>
      <c r="AF318" s="151">
        <v>1100</v>
      </c>
      <c r="AG318" s="153">
        <v>700</v>
      </c>
      <c r="AH318" s="151"/>
      <c r="AI318" s="153"/>
      <c r="AJ318" s="151"/>
      <c r="AK318" s="153"/>
      <c r="AL318" s="151"/>
      <c r="AM318" s="153"/>
      <c r="AN318" s="151"/>
      <c r="AO318" s="153"/>
      <c r="AP318" s="61">
        <f t="shared" si="56"/>
        <v>3446</v>
      </c>
      <c r="AQ318" s="75">
        <f t="shared" si="49"/>
        <v>2652</v>
      </c>
      <c r="AR318" s="150" t="s">
        <v>74</v>
      </c>
    </row>
    <row r="319" spans="1:44" x14ac:dyDescent="0.25">
      <c r="A319" s="4" t="s">
        <v>231</v>
      </c>
      <c r="B319" s="4" t="s">
        <v>77</v>
      </c>
      <c r="C319" s="5" t="s">
        <v>73</v>
      </c>
      <c r="D319" s="151">
        <v>19954</v>
      </c>
      <c r="E319" s="153">
        <v>20036</v>
      </c>
      <c r="F319" s="151">
        <v>300</v>
      </c>
      <c r="G319" s="153">
        <v>300</v>
      </c>
      <c r="H319" s="151"/>
      <c r="I319" s="153"/>
      <c r="J319" s="151">
        <v>224</v>
      </c>
      <c r="K319" s="153">
        <v>160</v>
      </c>
      <c r="L319" s="151">
        <v>1200</v>
      </c>
      <c r="M319" s="153">
        <v>1200</v>
      </c>
      <c r="N319" s="151">
        <v>220</v>
      </c>
      <c r="O319" s="153">
        <v>220</v>
      </c>
      <c r="P319" s="151">
        <v>2573</v>
      </c>
      <c r="Q319" s="153">
        <v>2573</v>
      </c>
      <c r="R319" s="151">
        <v>448</v>
      </c>
      <c r="S319" s="153">
        <v>420</v>
      </c>
      <c r="T319" s="151"/>
      <c r="U319" s="153"/>
      <c r="V319" s="151"/>
      <c r="W319" s="153"/>
      <c r="X319" s="151"/>
      <c r="Y319" s="153"/>
      <c r="Z319" s="61">
        <f t="shared" si="54"/>
        <v>24919</v>
      </c>
      <c r="AA319" s="75">
        <f t="shared" si="55"/>
        <v>24909</v>
      </c>
      <c r="AB319" s="151">
        <v>80</v>
      </c>
      <c r="AC319" s="153">
        <v>50</v>
      </c>
      <c r="AD319" s="151">
        <v>1000</v>
      </c>
      <c r="AE319" s="153">
        <v>1000</v>
      </c>
      <c r="AF319" s="151">
        <v>2600</v>
      </c>
      <c r="AG319" s="153">
        <v>2500</v>
      </c>
      <c r="AH319" s="151"/>
      <c r="AI319" s="153"/>
      <c r="AJ319" s="151"/>
      <c r="AK319" s="153"/>
      <c r="AL319" s="151"/>
      <c r="AM319" s="153"/>
      <c r="AN319" s="151"/>
      <c r="AO319" s="153"/>
      <c r="AP319" s="61">
        <f t="shared" si="56"/>
        <v>28599</v>
      </c>
      <c r="AQ319" s="75">
        <f t="shared" ref="AQ319:AQ336" si="57">AA319+AC319+AE319+AG319+AI319+AK319+AM319+AO319</f>
        <v>28459</v>
      </c>
      <c r="AR319" s="150" t="s">
        <v>74</v>
      </c>
    </row>
    <row r="320" spans="1:44" x14ac:dyDescent="0.25">
      <c r="A320" s="4" t="s">
        <v>231</v>
      </c>
      <c r="B320" s="4" t="s">
        <v>237</v>
      </c>
      <c r="C320" s="5" t="s">
        <v>73</v>
      </c>
      <c r="D320" s="151"/>
      <c r="E320" s="153"/>
      <c r="F320" s="151"/>
      <c r="G320" s="153"/>
      <c r="H320" s="151"/>
      <c r="I320" s="153"/>
      <c r="J320" s="151"/>
      <c r="K320" s="153"/>
      <c r="L320" s="151"/>
      <c r="M320" s="153"/>
      <c r="N320" s="151"/>
      <c r="O320" s="153"/>
      <c r="P320" s="151"/>
      <c r="Q320" s="153"/>
      <c r="R320" s="151"/>
      <c r="S320" s="153"/>
      <c r="T320" s="151"/>
      <c r="U320" s="153"/>
      <c r="V320" s="151"/>
      <c r="W320" s="153"/>
      <c r="X320" s="151"/>
      <c r="Y320" s="153"/>
      <c r="Z320" s="61">
        <f t="shared" si="54"/>
        <v>0</v>
      </c>
      <c r="AA320" s="75">
        <f t="shared" si="55"/>
        <v>0</v>
      </c>
      <c r="AB320" s="151"/>
      <c r="AC320" s="153"/>
      <c r="AD320" s="151">
        <v>8200</v>
      </c>
      <c r="AE320" s="153">
        <v>6000</v>
      </c>
      <c r="AF320" s="151">
        <v>2680</v>
      </c>
      <c r="AG320" s="153">
        <v>2000</v>
      </c>
      <c r="AH320" s="151"/>
      <c r="AI320" s="153"/>
      <c r="AJ320" s="151"/>
      <c r="AK320" s="153"/>
      <c r="AL320" s="151"/>
      <c r="AM320" s="153"/>
      <c r="AN320" s="151"/>
      <c r="AO320" s="153"/>
      <c r="AP320" s="61">
        <f t="shared" si="56"/>
        <v>10880</v>
      </c>
      <c r="AQ320" s="75">
        <f t="shared" si="57"/>
        <v>8000</v>
      </c>
      <c r="AR320" s="150" t="s">
        <v>74</v>
      </c>
    </row>
    <row r="321" spans="1:44" x14ac:dyDescent="0.25">
      <c r="A321" s="4" t="s">
        <v>231</v>
      </c>
      <c r="B321" s="4" t="s">
        <v>238</v>
      </c>
      <c r="C321" s="5" t="s">
        <v>82</v>
      </c>
      <c r="D321" s="151">
        <v>20996</v>
      </c>
      <c r="E321" s="153">
        <v>20145</v>
      </c>
      <c r="F321" s="151"/>
      <c r="G321" s="153"/>
      <c r="H321" s="151"/>
      <c r="I321" s="153"/>
      <c r="J321" s="151">
        <v>1160</v>
      </c>
      <c r="K321" s="153">
        <v>900</v>
      </c>
      <c r="L321" s="151">
        <v>2877</v>
      </c>
      <c r="M321" s="153">
        <v>2877</v>
      </c>
      <c r="N321" s="151">
        <v>250</v>
      </c>
      <c r="O321" s="153">
        <v>228</v>
      </c>
      <c r="P321" s="151">
        <v>4664</v>
      </c>
      <c r="Q321" s="153">
        <v>4664</v>
      </c>
      <c r="R321" s="151"/>
      <c r="S321" s="153"/>
      <c r="T321" s="151">
        <v>4629</v>
      </c>
      <c r="U321" s="153">
        <v>4784</v>
      </c>
      <c r="V321" s="151"/>
      <c r="W321" s="153"/>
      <c r="X321" s="151"/>
      <c r="Y321" s="153"/>
      <c r="Z321" s="61">
        <f t="shared" si="54"/>
        <v>34576</v>
      </c>
      <c r="AA321" s="75">
        <f t="shared" si="55"/>
        <v>33598</v>
      </c>
      <c r="AB321" s="151">
        <v>50</v>
      </c>
      <c r="AC321" s="153">
        <v>50</v>
      </c>
      <c r="AD321" s="151">
        <v>300</v>
      </c>
      <c r="AE321" s="153">
        <v>300</v>
      </c>
      <c r="AF321" s="151">
        <v>1000</v>
      </c>
      <c r="AG321" s="153">
        <v>900</v>
      </c>
      <c r="AH321" s="151"/>
      <c r="AI321" s="153"/>
      <c r="AJ321" s="151"/>
      <c r="AK321" s="153"/>
      <c r="AL321" s="151"/>
      <c r="AM321" s="153"/>
      <c r="AN321" s="151"/>
      <c r="AO321" s="153"/>
      <c r="AP321" s="61">
        <f t="shared" si="56"/>
        <v>35926</v>
      </c>
      <c r="AQ321" s="75">
        <f t="shared" si="57"/>
        <v>34848</v>
      </c>
      <c r="AR321" s="150" t="s">
        <v>128</v>
      </c>
    </row>
    <row r="322" spans="1:44" ht="26.25" x14ac:dyDescent="0.25">
      <c r="A322" s="4" t="s">
        <v>231</v>
      </c>
      <c r="B322" s="4" t="s">
        <v>206</v>
      </c>
      <c r="C322" s="5" t="s">
        <v>82</v>
      </c>
      <c r="D322" s="151">
        <f>16777+415</f>
        <v>17192</v>
      </c>
      <c r="E322" s="153">
        <v>21406</v>
      </c>
      <c r="F322" s="151"/>
      <c r="G322" s="153"/>
      <c r="H322" s="151"/>
      <c r="I322" s="153"/>
      <c r="J322" s="151"/>
      <c r="K322" s="153"/>
      <c r="L322" s="151"/>
      <c r="M322" s="153"/>
      <c r="N322" s="151"/>
      <c r="O322" s="153"/>
      <c r="P322" s="151"/>
      <c r="Q322" s="153"/>
      <c r="R322" s="151"/>
      <c r="S322" s="153"/>
      <c r="T322" s="151"/>
      <c r="U322" s="153"/>
      <c r="V322" s="151"/>
      <c r="W322" s="153"/>
      <c r="X322" s="151"/>
      <c r="Y322" s="153"/>
      <c r="Z322" s="61">
        <f t="shared" si="54"/>
        <v>17192</v>
      </c>
      <c r="AA322" s="75">
        <f t="shared" si="55"/>
        <v>21406</v>
      </c>
      <c r="AB322" s="151"/>
      <c r="AC322" s="153"/>
      <c r="AD322" s="151"/>
      <c r="AE322" s="153"/>
      <c r="AF322" s="151"/>
      <c r="AG322" s="153"/>
      <c r="AH322" s="151"/>
      <c r="AI322" s="153"/>
      <c r="AJ322" s="151"/>
      <c r="AK322" s="153"/>
      <c r="AL322" s="151"/>
      <c r="AM322" s="153"/>
      <c r="AN322" s="151"/>
      <c r="AO322" s="153"/>
      <c r="AP322" s="61">
        <f t="shared" si="56"/>
        <v>17192</v>
      </c>
      <c r="AQ322" s="75">
        <f t="shared" si="57"/>
        <v>21406</v>
      </c>
      <c r="AR322" s="150" t="s">
        <v>128</v>
      </c>
    </row>
    <row r="323" spans="1:44" x14ac:dyDescent="0.25">
      <c r="A323" s="4" t="s">
        <v>231</v>
      </c>
      <c r="B323" s="4" t="s">
        <v>85</v>
      </c>
      <c r="C323" s="5" t="s">
        <v>86</v>
      </c>
      <c r="D323" s="151">
        <v>36066</v>
      </c>
      <c r="E323" s="153">
        <v>39672</v>
      </c>
      <c r="F323" s="151">
        <v>990</v>
      </c>
      <c r="G323" s="153">
        <v>990</v>
      </c>
      <c r="H323" s="151"/>
      <c r="I323" s="153"/>
      <c r="J323" s="151">
        <v>2200</v>
      </c>
      <c r="K323" s="153">
        <v>2000</v>
      </c>
      <c r="L323" s="151">
        <v>6267</v>
      </c>
      <c r="M323" s="153">
        <v>6267</v>
      </c>
      <c r="N323" s="151">
        <v>228</v>
      </c>
      <c r="O323" s="153">
        <v>250</v>
      </c>
      <c r="P323" s="151">
        <v>17487</v>
      </c>
      <c r="Q323" s="153">
        <v>17487</v>
      </c>
      <c r="R323" s="151">
        <v>2310</v>
      </c>
      <c r="S323" s="153">
        <v>2200</v>
      </c>
      <c r="T323" s="151">
        <v>1963</v>
      </c>
      <c r="U323" s="153">
        <v>1963</v>
      </c>
      <c r="V323" s="151"/>
      <c r="W323" s="153"/>
      <c r="X323" s="151"/>
      <c r="Y323" s="153"/>
      <c r="Z323" s="61">
        <f t="shared" si="54"/>
        <v>67511</v>
      </c>
      <c r="AA323" s="75">
        <f t="shared" si="55"/>
        <v>70829</v>
      </c>
      <c r="AB323" s="151">
        <v>600</v>
      </c>
      <c r="AC323" s="153">
        <v>400</v>
      </c>
      <c r="AD323" s="151">
        <v>6370</v>
      </c>
      <c r="AE323" s="153">
        <v>6000</v>
      </c>
      <c r="AF323" s="151">
        <v>10500</v>
      </c>
      <c r="AG323" s="153">
        <v>9500</v>
      </c>
      <c r="AH323" s="151">
        <v>150</v>
      </c>
      <c r="AI323" s="153">
        <v>150</v>
      </c>
      <c r="AJ323" s="151"/>
      <c r="AK323" s="153"/>
      <c r="AL323" s="151"/>
      <c r="AM323" s="153"/>
      <c r="AN323" s="151">
        <v>150</v>
      </c>
      <c r="AO323" s="153">
        <v>150</v>
      </c>
      <c r="AP323" s="61">
        <f t="shared" si="56"/>
        <v>85281</v>
      </c>
      <c r="AQ323" s="75">
        <f t="shared" si="57"/>
        <v>87029</v>
      </c>
      <c r="AR323" s="150" t="s">
        <v>128</v>
      </c>
    </row>
    <row r="324" spans="1:44" ht="26.25" x14ac:dyDescent="0.25">
      <c r="A324" s="4" t="s">
        <v>231</v>
      </c>
      <c r="B324" s="4" t="s">
        <v>87</v>
      </c>
      <c r="C324" s="5" t="s">
        <v>86</v>
      </c>
      <c r="D324" s="151">
        <v>20261</v>
      </c>
      <c r="E324" s="153">
        <v>24085</v>
      </c>
      <c r="F324" s="151"/>
      <c r="G324" s="153"/>
      <c r="H324" s="151"/>
      <c r="I324" s="153"/>
      <c r="J324" s="151"/>
      <c r="K324" s="153"/>
      <c r="L324" s="151"/>
      <c r="M324" s="153"/>
      <c r="N324" s="151"/>
      <c r="O324" s="153"/>
      <c r="P324" s="151"/>
      <c r="Q324" s="153"/>
      <c r="R324" s="151"/>
      <c r="S324" s="153"/>
      <c r="T324" s="151"/>
      <c r="U324" s="153"/>
      <c r="V324" s="151"/>
      <c r="W324" s="153"/>
      <c r="X324" s="151"/>
      <c r="Y324" s="153"/>
      <c r="Z324" s="61">
        <f t="shared" si="54"/>
        <v>20261</v>
      </c>
      <c r="AA324" s="75">
        <f t="shared" si="55"/>
        <v>24085</v>
      </c>
      <c r="AB324" s="151"/>
      <c r="AC324" s="153"/>
      <c r="AD324" s="151"/>
      <c r="AE324" s="153"/>
      <c r="AF324" s="151"/>
      <c r="AG324" s="153"/>
      <c r="AH324" s="151"/>
      <c r="AI324" s="153"/>
      <c r="AJ324" s="151"/>
      <c r="AK324" s="153"/>
      <c r="AL324" s="151"/>
      <c r="AM324" s="153"/>
      <c r="AN324" s="151"/>
      <c r="AO324" s="153"/>
      <c r="AP324" s="61">
        <f t="shared" si="56"/>
        <v>20261</v>
      </c>
      <c r="AQ324" s="75">
        <f t="shared" si="57"/>
        <v>24085</v>
      </c>
      <c r="AR324" s="150" t="s">
        <v>128</v>
      </c>
    </row>
    <row r="325" spans="1:44" ht="26.25" x14ac:dyDescent="0.25">
      <c r="A325" s="4" t="s">
        <v>231</v>
      </c>
      <c r="B325" s="4" t="s">
        <v>88</v>
      </c>
      <c r="C325" s="5" t="s">
        <v>86</v>
      </c>
      <c r="D325" s="151"/>
      <c r="E325" s="153"/>
      <c r="F325" s="151"/>
      <c r="G325" s="153"/>
      <c r="H325" s="151"/>
      <c r="I325" s="153"/>
      <c r="J325" s="151"/>
      <c r="K325" s="153"/>
      <c r="L325" s="151"/>
      <c r="M325" s="153"/>
      <c r="N325" s="151"/>
      <c r="O325" s="153"/>
      <c r="P325" s="151"/>
      <c r="Q325" s="153"/>
      <c r="R325" s="151"/>
      <c r="S325" s="153"/>
      <c r="T325" s="151">
        <v>1908</v>
      </c>
      <c r="U325" s="153">
        <v>1977</v>
      </c>
      <c r="V325" s="151"/>
      <c r="W325" s="153"/>
      <c r="X325" s="151"/>
      <c r="Y325" s="153"/>
      <c r="Z325" s="61">
        <f t="shared" si="54"/>
        <v>1908</v>
      </c>
      <c r="AA325" s="75">
        <f t="shared" si="55"/>
        <v>1977</v>
      </c>
      <c r="AB325" s="151"/>
      <c r="AC325" s="153"/>
      <c r="AD325" s="151"/>
      <c r="AE325" s="153"/>
      <c r="AF325" s="151"/>
      <c r="AG325" s="153"/>
      <c r="AH325" s="151"/>
      <c r="AI325" s="153"/>
      <c r="AJ325" s="151"/>
      <c r="AK325" s="153"/>
      <c r="AL325" s="151"/>
      <c r="AM325" s="153"/>
      <c r="AN325" s="151"/>
      <c r="AO325" s="153"/>
      <c r="AP325" s="61">
        <f t="shared" si="56"/>
        <v>1908</v>
      </c>
      <c r="AQ325" s="75">
        <f t="shared" si="57"/>
        <v>1977</v>
      </c>
      <c r="AR325" s="150" t="s">
        <v>128</v>
      </c>
    </row>
    <row r="326" spans="1:44" ht="26.25" x14ac:dyDescent="0.25">
      <c r="A326" s="4" t="s">
        <v>231</v>
      </c>
      <c r="B326" s="4" t="s">
        <v>89</v>
      </c>
      <c r="C326" s="5" t="s">
        <v>86</v>
      </c>
      <c r="D326" s="151"/>
      <c r="E326" s="153"/>
      <c r="F326" s="151"/>
      <c r="G326" s="153"/>
      <c r="H326" s="151"/>
      <c r="I326" s="153"/>
      <c r="J326" s="151"/>
      <c r="K326" s="153"/>
      <c r="L326" s="151"/>
      <c r="M326" s="153"/>
      <c r="N326" s="151"/>
      <c r="O326" s="153"/>
      <c r="P326" s="151"/>
      <c r="Q326" s="153"/>
      <c r="R326" s="151"/>
      <c r="S326" s="153"/>
      <c r="T326" s="151">
        <v>1908</v>
      </c>
      <c r="U326" s="153">
        <v>1977</v>
      </c>
      <c r="V326" s="151"/>
      <c r="W326" s="153"/>
      <c r="X326" s="151"/>
      <c r="Y326" s="153"/>
      <c r="Z326" s="61">
        <f t="shared" si="54"/>
        <v>1908</v>
      </c>
      <c r="AA326" s="75">
        <f t="shared" si="55"/>
        <v>1977</v>
      </c>
      <c r="AB326" s="151"/>
      <c r="AC326" s="153"/>
      <c r="AD326" s="151"/>
      <c r="AE326" s="153"/>
      <c r="AF326" s="151"/>
      <c r="AG326" s="153"/>
      <c r="AH326" s="151"/>
      <c r="AI326" s="153"/>
      <c r="AJ326" s="151"/>
      <c r="AK326" s="153"/>
      <c r="AL326" s="151"/>
      <c r="AM326" s="153"/>
      <c r="AN326" s="151"/>
      <c r="AO326" s="153"/>
      <c r="AP326" s="61">
        <f t="shared" si="56"/>
        <v>1908</v>
      </c>
      <c r="AQ326" s="75">
        <f t="shared" si="57"/>
        <v>1977</v>
      </c>
      <c r="AR326" s="150" t="s">
        <v>128</v>
      </c>
    </row>
    <row r="327" spans="1:44" x14ac:dyDescent="0.25">
      <c r="A327" s="4" t="s">
        <v>231</v>
      </c>
      <c r="B327" s="4" t="s">
        <v>91</v>
      </c>
      <c r="C327" s="5" t="s">
        <v>86</v>
      </c>
      <c r="D327" s="151">
        <v>59280</v>
      </c>
      <c r="E327" s="153">
        <v>62960</v>
      </c>
      <c r="F327" s="151"/>
      <c r="G327" s="153"/>
      <c r="H327" s="151"/>
      <c r="I327" s="153"/>
      <c r="J327" s="151"/>
      <c r="K327" s="153"/>
      <c r="L327" s="151"/>
      <c r="M327" s="153"/>
      <c r="N327" s="151"/>
      <c r="O327" s="153"/>
      <c r="P327" s="151"/>
      <c r="Q327" s="153"/>
      <c r="R327" s="151"/>
      <c r="S327" s="153"/>
      <c r="T327" s="151"/>
      <c r="U327" s="153"/>
      <c r="V327" s="151"/>
      <c r="W327" s="153"/>
      <c r="X327" s="151"/>
      <c r="Y327" s="153"/>
      <c r="Z327" s="61">
        <f t="shared" si="54"/>
        <v>59280</v>
      </c>
      <c r="AA327" s="75">
        <f t="shared" si="55"/>
        <v>62960</v>
      </c>
      <c r="AB327" s="151"/>
      <c r="AC327" s="153"/>
      <c r="AD327" s="151"/>
      <c r="AE327" s="153"/>
      <c r="AF327" s="151"/>
      <c r="AG327" s="153"/>
      <c r="AH327" s="151"/>
      <c r="AI327" s="153"/>
      <c r="AJ327" s="151"/>
      <c r="AK327" s="153"/>
      <c r="AL327" s="151"/>
      <c r="AM327" s="153"/>
      <c r="AN327" s="151"/>
      <c r="AO327" s="153"/>
      <c r="AP327" s="61">
        <f t="shared" si="56"/>
        <v>59280</v>
      </c>
      <c r="AQ327" s="75">
        <f t="shared" si="57"/>
        <v>62960</v>
      </c>
      <c r="AR327" s="150" t="s">
        <v>128</v>
      </c>
    </row>
    <row r="328" spans="1:44" ht="26.25" x14ac:dyDescent="0.25">
      <c r="A328" s="4" t="s">
        <v>231</v>
      </c>
      <c r="B328" s="4" t="s">
        <v>92</v>
      </c>
      <c r="C328" s="5" t="s">
        <v>93</v>
      </c>
      <c r="D328" s="151">
        <v>4584</v>
      </c>
      <c r="E328" s="153">
        <v>4585</v>
      </c>
      <c r="F328" s="151"/>
      <c r="G328" s="153"/>
      <c r="H328" s="151"/>
      <c r="I328" s="153"/>
      <c r="J328" s="151"/>
      <c r="K328" s="153"/>
      <c r="L328" s="151"/>
      <c r="M328" s="153"/>
      <c r="N328" s="151"/>
      <c r="O328" s="153"/>
      <c r="P328" s="151"/>
      <c r="Q328" s="153"/>
      <c r="R328" s="151"/>
      <c r="S328" s="153"/>
      <c r="T328" s="151"/>
      <c r="U328" s="153"/>
      <c r="V328" s="151"/>
      <c r="W328" s="153"/>
      <c r="X328" s="151"/>
      <c r="Y328" s="153"/>
      <c r="Z328" s="61">
        <f t="shared" si="54"/>
        <v>4584</v>
      </c>
      <c r="AA328" s="75">
        <f t="shared" si="55"/>
        <v>4585</v>
      </c>
      <c r="AB328" s="151"/>
      <c r="AC328" s="153"/>
      <c r="AD328" s="151"/>
      <c r="AE328" s="153"/>
      <c r="AF328" s="151"/>
      <c r="AG328" s="153"/>
      <c r="AH328" s="151"/>
      <c r="AI328" s="153"/>
      <c r="AJ328" s="151"/>
      <c r="AK328" s="153"/>
      <c r="AL328" s="151"/>
      <c r="AM328" s="153"/>
      <c r="AN328" s="151"/>
      <c r="AO328" s="153"/>
      <c r="AP328" s="61">
        <f t="shared" si="56"/>
        <v>4584</v>
      </c>
      <c r="AQ328" s="75">
        <f t="shared" si="57"/>
        <v>4585</v>
      </c>
      <c r="AR328" s="150" t="s">
        <v>128</v>
      </c>
    </row>
    <row r="329" spans="1:44" ht="26.25" x14ac:dyDescent="0.25">
      <c r="A329" s="4" t="s">
        <v>231</v>
      </c>
      <c r="B329" s="4" t="s">
        <v>84</v>
      </c>
      <c r="C329" s="5" t="s">
        <v>82</v>
      </c>
      <c r="D329" s="151">
        <v>8424</v>
      </c>
      <c r="E329" s="153">
        <v>8872</v>
      </c>
      <c r="F329" s="151"/>
      <c r="G329" s="153"/>
      <c r="H329" s="151"/>
      <c r="I329" s="153"/>
      <c r="J329" s="151"/>
      <c r="K329" s="153"/>
      <c r="L329" s="151"/>
      <c r="M329" s="153"/>
      <c r="N329" s="151"/>
      <c r="O329" s="153"/>
      <c r="P329" s="151"/>
      <c r="Q329" s="153"/>
      <c r="R329" s="151"/>
      <c r="S329" s="153"/>
      <c r="T329" s="151"/>
      <c r="U329" s="153"/>
      <c r="V329" s="151"/>
      <c r="W329" s="153"/>
      <c r="X329" s="151"/>
      <c r="Y329" s="153"/>
      <c r="Z329" s="61">
        <f t="shared" si="54"/>
        <v>8424</v>
      </c>
      <c r="AA329" s="75">
        <f t="shared" si="55"/>
        <v>8872</v>
      </c>
      <c r="AB329" s="151"/>
      <c r="AC329" s="153"/>
      <c r="AD329" s="151"/>
      <c r="AE329" s="153"/>
      <c r="AF329" s="151"/>
      <c r="AG329" s="153"/>
      <c r="AH329" s="151"/>
      <c r="AI329" s="153"/>
      <c r="AJ329" s="151"/>
      <c r="AK329" s="153"/>
      <c r="AL329" s="151"/>
      <c r="AM329" s="153"/>
      <c r="AN329" s="151"/>
      <c r="AO329" s="153"/>
      <c r="AP329" s="61">
        <f t="shared" si="56"/>
        <v>8424</v>
      </c>
      <c r="AQ329" s="75">
        <f t="shared" si="57"/>
        <v>8872</v>
      </c>
      <c r="AR329" s="150" t="s">
        <v>128</v>
      </c>
    </row>
    <row r="330" spans="1:44" x14ac:dyDescent="0.25">
      <c r="A330" s="4" t="s">
        <v>231</v>
      </c>
      <c r="B330" s="4" t="s">
        <v>97</v>
      </c>
      <c r="C330" s="5" t="s">
        <v>96</v>
      </c>
      <c r="D330" s="151"/>
      <c r="E330" s="153"/>
      <c r="F330" s="151"/>
      <c r="G330" s="153"/>
      <c r="H330" s="151"/>
      <c r="I330" s="153"/>
      <c r="J330" s="151"/>
      <c r="K330" s="153"/>
      <c r="L330" s="151"/>
      <c r="M330" s="153"/>
      <c r="N330" s="151"/>
      <c r="O330" s="153"/>
      <c r="P330" s="151"/>
      <c r="Q330" s="153"/>
      <c r="R330" s="151"/>
      <c r="S330" s="153"/>
      <c r="T330" s="151"/>
      <c r="U330" s="153"/>
      <c r="V330" s="151">
        <v>11533</v>
      </c>
      <c r="W330" s="153">
        <v>11530</v>
      </c>
      <c r="X330" s="151"/>
      <c r="Y330" s="153"/>
      <c r="Z330" s="61">
        <f t="shared" si="54"/>
        <v>11533</v>
      </c>
      <c r="AA330" s="75">
        <f t="shared" si="55"/>
        <v>11530</v>
      </c>
      <c r="AB330" s="151"/>
      <c r="AC330" s="153"/>
      <c r="AD330" s="151"/>
      <c r="AE330" s="153"/>
      <c r="AF330" s="151"/>
      <c r="AG330" s="153"/>
      <c r="AH330" s="151"/>
      <c r="AI330" s="153"/>
      <c r="AJ330" s="151"/>
      <c r="AK330" s="153"/>
      <c r="AL330" s="151"/>
      <c r="AM330" s="153"/>
      <c r="AN330" s="151">
        <v>111</v>
      </c>
      <c r="AO330" s="153">
        <v>111</v>
      </c>
      <c r="AP330" s="61">
        <f t="shared" si="56"/>
        <v>11644</v>
      </c>
      <c r="AQ330" s="75">
        <f t="shared" si="57"/>
        <v>11641</v>
      </c>
      <c r="AR330" s="150" t="s">
        <v>80</v>
      </c>
    </row>
    <row r="331" spans="1:44" ht="26.25" x14ac:dyDescent="0.25">
      <c r="A331" s="4" t="s">
        <v>231</v>
      </c>
      <c r="B331" s="4" t="s">
        <v>95</v>
      </c>
      <c r="C331" s="5" t="s">
        <v>96</v>
      </c>
      <c r="D331" s="151"/>
      <c r="E331" s="153"/>
      <c r="F331" s="151"/>
      <c r="G331" s="153"/>
      <c r="H331" s="151"/>
      <c r="I331" s="153"/>
      <c r="J331" s="151"/>
      <c r="K331" s="153"/>
      <c r="L331" s="151"/>
      <c r="M331" s="153"/>
      <c r="N331" s="151"/>
      <c r="O331" s="153"/>
      <c r="P331" s="151"/>
      <c r="Q331" s="153"/>
      <c r="R331" s="151"/>
      <c r="S331" s="153"/>
      <c r="T331" s="151"/>
      <c r="U331" s="153"/>
      <c r="V331" s="151">
        <v>3575</v>
      </c>
      <c r="W331" s="153">
        <v>3575</v>
      </c>
      <c r="X331" s="151"/>
      <c r="Y331" s="153"/>
      <c r="Z331" s="61">
        <f t="shared" si="54"/>
        <v>3575</v>
      </c>
      <c r="AA331" s="75">
        <f t="shared" si="55"/>
        <v>3575</v>
      </c>
      <c r="AB331" s="151"/>
      <c r="AC331" s="153"/>
      <c r="AD331" s="151"/>
      <c r="AE331" s="153"/>
      <c r="AF331" s="151"/>
      <c r="AG331" s="153"/>
      <c r="AH331" s="151"/>
      <c r="AI331" s="153"/>
      <c r="AJ331" s="151"/>
      <c r="AK331" s="153"/>
      <c r="AL331" s="151"/>
      <c r="AM331" s="153"/>
      <c r="AN331" s="151"/>
      <c r="AO331" s="153"/>
      <c r="AP331" s="61">
        <f t="shared" si="56"/>
        <v>3575</v>
      </c>
      <c r="AQ331" s="75">
        <f t="shared" si="57"/>
        <v>3575</v>
      </c>
      <c r="AR331" s="150" t="s">
        <v>80</v>
      </c>
    </row>
    <row r="332" spans="1:44" ht="30" x14ac:dyDescent="0.25">
      <c r="A332" s="4" t="s">
        <v>231</v>
      </c>
      <c r="B332" s="4" t="s">
        <v>100</v>
      </c>
      <c r="C332" s="5" t="s">
        <v>101</v>
      </c>
      <c r="D332" s="151"/>
      <c r="E332" s="153"/>
      <c r="F332" s="151"/>
      <c r="G332" s="153"/>
      <c r="H332" s="151"/>
      <c r="I332" s="153"/>
      <c r="J332" s="151"/>
      <c r="K332" s="153"/>
      <c r="L332" s="151"/>
      <c r="M332" s="153"/>
      <c r="N332" s="151"/>
      <c r="O332" s="153"/>
      <c r="P332" s="151"/>
      <c r="Q332" s="153"/>
      <c r="R332" s="151"/>
      <c r="S332" s="153"/>
      <c r="T332" s="151"/>
      <c r="U332" s="153"/>
      <c r="V332" s="151"/>
      <c r="W332" s="153"/>
      <c r="X332" s="151"/>
      <c r="Y332" s="153"/>
      <c r="Z332" s="61">
        <f t="shared" si="54"/>
        <v>0</v>
      </c>
      <c r="AA332" s="75">
        <f t="shared" si="55"/>
        <v>0</v>
      </c>
      <c r="AB332" s="151"/>
      <c r="AC332" s="153"/>
      <c r="AD332" s="151"/>
      <c r="AE332" s="153"/>
      <c r="AF332" s="151"/>
      <c r="AG332" s="153"/>
      <c r="AH332" s="151"/>
      <c r="AI332" s="153"/>
      <c r="AJ332" s="151"/>
      <c r="AK332" s="153"/>
      <c r="AL332" s="151">
        <v>10858</v>
      </c>
      <c r="AM332" s="153">
        <v>10858</v>
      </c>
      <c r="AN332" s="151"/>
      <c r="AO332" s="153"/>
      <c r="AP332" s="61">
        <f t="shared" si="56"/>
        <v>10858</v>
      </c>
      <c r="AQ332" s="75">
        <f t="shared" si="57"/>
        <v>10858</v>
      </c>
      <c r="AR332" s="150" t="s">
        <v>102</v>
      </c>
    </row>
    <row r="333" spans="1:44" x14ac:dyDescent="0.25">
      <c r="A333" s="4" t="s">
        <v>231</v>
      </c>
      <c r="B333" s="4" t="s">
        <v>105</v>
      </c>
      <c r="C333" s="5"/>
      <c r="D333" s="151">
        <v>6456</v>
      </c>
      <c r="E333" s="153">
        <v>7184</v>
      </c>
      <c r="F333" s="151"/>
      <c r="G333" s="153"/>
      <c r="H333" s="151"/>
      <c r="I333" s="153"/>
      <c r="J333" s="151"/>
      <c r="K333" s="153"/>
      <c r="L333" s="151"/>
      <c r="M333" s="153"/>
      <c r="N333" s="151"/>
      <c r="O333" s="153"/>
      <c r="P333" s="151"/>
      <c r="Q333" s="153"/>
      <c r="R333" s="151"/>
      <c r="S333" s="153"/>
      <c r="T333" s="151"/>
      <c r="U333" s="153"/>
      <c r="V333" s="151"/>
      <c r="W333" s="153"/>
      <c r="X333" s="151"/>
      <c r="Y333" s="153"/>
      <c r="Z333" s="61">
        <f t="shared" si="54"/>
        <v>6456</v>
      </c>
      <c r="AA333" s="75">
        <f t="shared" si="55"/>
        <v>7184</v>
      </c>
      <c r="AB333" s="151"/>
      <c r="AC333" s="153"/>
      <c r="AD333" s="151"/>
      <c r="AE333" s="153"/>
      <c r="AF333" s="151"/>
      <c r="AG333" s="153"/>
      <c r="AH333" s="151"/>
      <c r="AI333" s="153"/>
      <c r="AJ333" s="151"/>
      <c r="AK333" s="153"/>
      <c r="AL333" s="151"/>
      <c r="AM333" s="153"/>
      <c r="AN333" s="151"/>
      <c r="AO333" s="153"/>
      <c r="AP333" s="61">
        <f t="shared" si="56"/>
        <v>6456</v>
      </c>
      <c r="AQ333" s="75">
        <f t="shared" si="57"/>
        <v>7184</v>
      </c>
      <c r="AR333" s="150" t="s">
        <v>58</v>
      </c>
    </row>
    <row r="334" spans="1:44" x14ac:dyDescent="0.25">
      <c r="A334" s="4" t="s">
        <v>231</v>
      </c>
      <c r="B334" s="4" t="s">
        <v>106</v>
      </c>
      <c r="C334" s="5"/>
      <c r="D334" s="151">
        <v>5570</v>
      </c>
      <c r="E334" s="153">
        <v>6208</v>
      </c>
      <c r="F334" s="151"/>
      <c r="G334" s="153"/>
      <c r="H334" s="151"/>
      <c r="I334" s="153"/>
      <c r="J334" s="151"/>
      <c r="K334" s="153"/>
      <c r="L334" s="151"/>
      <c r="M334" s="153"/>
      <c r="N334" s="151"/>
      <c r="O334" s="153"/>
      <c r="P334" s="151"/>
      <c r="Q334" s="153"/>
      <c r="R334" s="151"/>
      <c r="S334" s="153"/>
      <c r="T334" s="151"/>
      <c r="U334" s="153"/>
      <c r="V334" s="151"/>
      <c r="W334" s="153"/>
      <c r="X334" s="151"/>
      <c r="Y334" s="153"/>
      <c r="Z334" s="61">
        <f t="shared" si="54"/>
        <v>5570</v>
      </c>
      <c r="AA334" s="75">
        <f t="shared" si="55"/>
        <v>6208</v>
      </c>
      <c r="AB334" s="151"/>
      <c r="AC334" s="153"/>
      <c r="AD334" s="151"/>
      <c r="AE334" s="153"/>
      <c r="AF334" s="151"/>
      <c r="AG334" s="153"/>
      <c r="AH334" s="151"/>
      <c r="AI334" s="153"/>
      <c r="AJ334" s="151"/>
      <c r="AK334" s="153"/>
      <c r="AL334" s="151"/>
      <c r="AM334" s="153"/>
      <c r="AN334" s="151"/>
      <c r="AO334" s="153"/>
      <c r="AP334" s="61">
        <f t="shared" si="56"/>
        <v>5570</v>
      </c>
      <c r="AQ334" s="75">
        <f t="shared" si="57"/>
        <v>6208</v>
      </c>
      <c r="AR334" s="150" t="s">
        <v>58</v>
      </c>
    </row>
    <row r="335" spans="1:44" ht="30" x14ac:dyDescent="0.25">
      <c r="A335" s="4" t="s">
        <v>231</v>
      </c>
      <c r="B335" s="4" t="s">
        <v>239</v>
      </c>
      <c r="C335" s="5" t="s">
        <v>104</v>
      </c>
      <c r="D335" s="151"/>
      <c r="E335" s="153"/>
      <c r="F335" s="151">
        <v>250</v>
      </c>
      <c r="G335" s="153">
        <v>250</v>
      </c>
      <c r="H335" s="151"/>
      <c r="I335" s="153"/>
      <c r="J335" s="151">
        <v>42</v>
      </c>
      <c r="K335" s="153">
        <v>30</v>
      </c>
      <c r="L335" s="151">
        <v>171</v>
      </c>
      <c r="M335" s="153">
        <v>171</v>
      </c>
      <c r="N335" s="151">
        <v>42</v>
      </c>
      <c r="O335" s="153">
        <v>42</v>
      </c>
      <c r="P335" s="151">
        <v>184</v>
      </c>
      <c r="Q335" s="153">
        <v>184</v>
      </c>
      <c r="R335" s="151">
        <v>1286</v>
      </c>
      <c r="S335" s="153">
        <v>1250</v>
      </c>
      <c r="T335" s="151"/>
      <c r="U335" s="153"/>
      <c r="V335" s="151"/>
      <c r="W335" s="153"/>
      <c r="X335" s="151"/>
      <c r="Y335" s="153"/>
      <c r="Z335" s="61">
        <f t="shared" si="54"/>
        <v>1975</v>
      </c>
      <c r="AA335" s="75">
        <f t="shared" si="55"/>
        <v>1927</v>
      </c>
      <c r="AB335" s="151">
        <v>50</v>
      </c>
      <c r="AC335" s="153">
        <v>50</v>
      </c>
      <c r="AD335" s="151">
        <v>100</v>
      </c>
      <c r="AE335" s="153">
        <v>100</v>
      </c>
      <c r="AF335" s="151">
        <v>300</v>
      </c>
      <c r="AG335" s="153">
        <v>300</v>
      </c>
      <c r="AH335" s="151"/>
      <c r="AI335" s="153"/>
      <c r="AJ335" s="151"/>
      <c r="AK335" s="153"/>
      <c r="AL335" s="151"/>
      <c r="AM335" s="153"/>
      <c r="AN335" s="151"/>
      <c r="AO335" s="153"/>
      <c r="AP335" s="61">
        <f t="shared" si="56"/>
        <v>2425</v>
      </c>
      <c r="AQ335" s="75">
        <f t="shared" si="57"/>
        <v>2377</v>
      </c>
      <c r="AR335" s="150" t="s">
        <v>102</v>
      </c>
    </row>
    <row r="336" spans="1:44" x14ac:dyDescent="0.25">
      <c r="A336" s="4" t="s">
        <v>231</v>
      </c>
      <c r="B336" s="4" t="s">
        <v>90</v>
      </c>
      <c r="C336" s="5" t="s">
        <v>86</v>
      </c>
      <c r="D336" s="151"/>
      <c r="E336" s="153"/>
      <c r="F336" s="151"/>
      <c r="G336" s="153"/>
      <c r="H336" s="151"/>
      <c r="I336" s="153"/>
      <c r="J336" s="151"/>
      <c r="K336" s="153"/>
      <c r="L336" s="151"/>
      <c r="M336" s="153"/>
      <c r="N336" s="151"/>
      <c r="O336" s="153"/>
      <c r="P336" s="151"/>
      <c r="Q336" s="153"/>
      <c r="R336" s="151"/>
      <c r="S336" s="153"/>
      <c r="T336" s="151">
        <v>1796</v>
      </c>
      <c r="U336" s="153">
        <v>1596</v>
      </c>
      <c r="V336" s="151"/>
      <c r="W336" s="153"/>
      <c r="X336" s="151"/>
      <c r="Y336" s="153"/>
      <c r="Z336" s="61">
        <f t="shared" si="54"/>
        <v>1796</v>
      </c>
      <c r="AA336" s="75">
        <f t="shared" si="55"/>
        <v>1596</v>
      </c>
      <c r="AB336" s="151"/>
      <c r="AC336" s="153"/>
      <c r="AD336" s="151"/>
      <c r="AE336" s="153"/>
      <c r="AF336" s="151"/>
      <c r="AG336" s="153"/>
      <c r="AH336" s="151"/>
      <c r="AI336" s="153"/>
      <c r="AJ336" s="151"/>
      <c r="AK336" s="153"/>
      <c r="AL336" s="151"/>
      <c r="AM336" s="153"/>
      <c r="AN336" s="151"/>
      <c r="AO336" s="153"/>
      <c r="AP336" s="61">
        <f t="shared" si="56"/>
        <v>1796</v>
      </c>
      <c r="AQ336" s="75">
        <f t="shared" si="57"/>
        <v>1596</v>
      </c>
      <c r="AR336" s="150" t="s">
        <v>58</v>
      </c>
    </row>
    <row r="337" spans="1:44" x14ac:dyDescent="0.25">
      <c r="A337" s="16" t="s">
        <v>240</v>
      </c>
      <c r="B337" s="16" t="s">
        <v>108</v>
      </c>
      <c r="C337" s="17"/>
      <c r="D337" s="18">
        <f t="shared" ref="D337:AQ337" si="58">SUM(D307:D336)</f>
        <v>389857</v>
      </c>
      <c r="E337" s="105">
        <f t="shared" si="58"/>
        <v>429666</v>
      </c>
      <c r="F337" s="18">
        <f t="shared" si="58"/>
        <v>2342</v>
      </c>
      <c r="G337" s="18">
        <f t="shared" si="58"/>
        <v>2342</v>
      </c>
      <c r="H337" s="18">
        <f t="shared" si="58"/>
        <v>0</v>
      </c>
      <c r="I337" s="18">
        <f t="shared" si="58"/>
        <v>0</v>
      </c>
      <c r="J337" s="18">
        <f t="shared" si="58"/>
        <v>5786</v>
      </c>
      <c r="K337" s="18">
        <f t="shared" si="58"/>
        <v>5000</v>
      </c>
      <c r="L337" s="18">
        <f t="shared" si="58"/>
        <v>20123</v>
      </c>
      <c r="M337" s="18">
        <f t="shared" si="58"/>
        <v>20123</v>
      </c>
      <c r="N337" s="18">
        <f t="shared" si="58"/>
        <v>1669</v>
      </c>
      <c r="O337" s="18">
        <f t="shared" si="58"/>
        <v>1669</v>
      </c>
      <c r="P337" s="18">
        <f t="shared" si="58"/>
        <v>30421</v>
      </c>
      <c r="Q337" s="18">
        <f t="shared" si="58"/>
        <v>30421</v>
      </c>
      <c r="R337" s="18">
        <f t="shared" si="58"/>
        <v>19021</v>
      </c>
      <c r="S337" s="18">
        <f t="shared" si="58"/>
        <v>18100</v>
      </c>
      <c r="T337" s="18">
        <f t="shared" si="58"/>
        <v>12204</v>
      </c>
      <c r="U337" s="18">
        <f t="shared" si="58"/>
        <v>12297</v>
      </c>
      <c r="V337" s="18">
        <f t="shared" si="58"/>
        <v>15108</v>
      </c>
      <c r="W337" s="18">
        <f t="shared" si="58"/>
        <v>15105</v>
      </c>
      <c r="X337" s="18">
        <f t="shared" si="58"/>
        <v>0</v>
      </c>
      <c r="Y337" s="18">
        <f t="shared" si="58"/>
        <v>0</v>
      </c>
      <c r="Z337" s="18">
        <f t="shared" si="58"/>
        <v>496531</v>
      </c>
      <c r="AA337" s="18">
        <f t="shared" si="58"/>
        <v>534723</v>
      </c>
      <c r="AB337" s="18">
        <f t="shared" si="58"/>
        <v>1270</v>
      </c>
      <c r="AC337" s="18">
        <f t="shared" si="58"/>
        <v>750</v>
      </c>
      <c r="AD337" s="18">
        <f t="shared" si="58"/>
        <v>75512</v>
      </c>
      <c r="AE337" s="18">
        <f t="shared" si="58"/>
        <v>71533</v>
      </c>
      <c r="AF337" s="18">
        <f t="shared" si="58"/>
        <v>37769</v>
      </c>
      <c r="AG337" s="18">
        <f t="shared" si="58"/>
        <v>34660</v>
      </c>
      <c r="AH337" s="18">
        <f t="shared" si="58"/>
        <v>2042</v>
      </c>
      <c r="AI337" s="18">
        <f t="shared" si="58"/>
        <v>2001</v>
      </c>
      <c r="AJ337" s="18">
        <f t="shared" si="58"/>
        <v>0</v>
      </c>
      <c r="AK337" s="18">
        <f t="shared" si="58"/>
        <v>0</v>
      </c>
      <c r="AL337" s="18">
        <f t="shared" si="58"/>
        <v>10858</v>
      </c>
      <c r="AM337" s="18">
        <f t="shared" si="58"/>
        <v>10858</v>
      </c>
      <c r="AN337" s="18">
        <f t="shared" si="58"/>
        <v>547</v>
      </c>
      <c r="AO337" s="18">
        <f t="shared" si="58"/>
        <v>547</v>
      </c>
      <c r="AP337" s="18">
        <f t="shared" si="58"/>
        <v>624529</v>
      </c>
      <c r="AQ337" s="18">
        <f t="shared" si="58"/>
        <v>655072</v>
      </c>
      <c r="AR337" s="150"/>
    </row>
    <row r="338" spans="1:44" x14ac:dyDescent="0.25">
      <c r="A338" s="4" t="s">
        <v>241</v>
      </c>
      <c r="B338" s="4" t="s">
        <v>56</v>
      </c>
      <c r="C338" s="5" t="s">
        <v>57</v>
      </c>
      <c r="D338" s="151">
        <v>46162</v>
      </c>
      <c r="E338" s="153">
        <v>48586</v>
      </c>
      <c r="F338" s="151">
        <v>2628</v>
      </c>
      <c r="G338" s="153">
        <v>2400</v>
      </c>
      <c r="H338" s="151"/>
      <c r="I338" s="153"/>
      <c r="J338" s="151">
        <v>510</v>
      </c>
      <c r="K338" s="153">
        <v>480</v>
      </c>
      <c r="L338" s="151">
        <v>1681</v>
      </c>
      <c r="M338" s="153">
        <v>1900</v>
      </c>
      <c r="N338" s="151"/>
      <c r="O338" s="153"/>
      <c r="P338" s="151">
        <v>5200</v>
      </c>
      <c r="Q338" s="153">
        <v>5200</v>
      </c>
      <c r="R338" s="151">
        <v>1320</v>
      </c>
      <c r="S338" s="153">
        <v>1254</v>
      </c>
      <c r="T338" s="151"/>
      <c r="U338" s="153"/>
      <c r="V338" s="151"/>
      <c r="W338" s="153"/>
      <c r="X338" s="151"/>
      <c r="Y338" s="153"/>
      <c r="Z338" s="61">
        <f t="shared" ref="Z338:Z366" si="59">D338+F338+H338+J338+L338+P338+R338+T338+V338+X338+N338</f>
        <v>57501</v>
      </c>
      <c r="AA338" s="75">
        <f t="shared" ref="AA338:AA366" si="60">E338+G338+I338+K338+M338+Q338+S338+U338+W338+Y338+O338</f>
        <v>59820</v>
      </c>
      <c r="AB338" s="151"/>
      <c r="AC338" s="153"/>
      <c r="AD338" s="151">
        <v>5270</v>
      </c>
      <c r="AE338" s="153">
        <v>5000</v>
      </c>
      <c r="AF338" s="151">
        <v>4970</v>
      </c>
      <c r="AG338" s="153">
        <v>4970</v>
      </c>
      <c r="AH338" s="151">
        <v>76</v>
      </c>
      <c r="AI338" s="153">
        <v>76</v>
      </c>
      <c r="AJ338" s="151"/>
      <c r="AK338" s="153"/>
      <c r="AL338" s="151"/>
      <c r="AM338" s="153"/>
      <c r="AN338" s="151"/>
      <c r="AO338" s="153"/>
      <c r="AP338" s="61">
        <f t="shared" ref="AP338:AP366" si="61">Z338+AB338+AD338+AF338+AH338+AJ338+AL338+AN338</f>
        <v>67817</v>
      </c>
      <c r="AQ338" s="75">
        <f t="shared" ref="AQ338:AQ366" si="62">AA338+AC338+AE338+AG338+AI338+AK338+AM338+AO338</f>
        <v>69866</v>
      </c>
      <c r="AR338" s="150" t="s">
        <v>58</v>
      </c>
    </row>
    <row r="339" spans="1:44" x14ac:dyDescent="0.25">
      <c r="A339" s="4" t="s">
        <v>241</v>
      </c>
      <c r="B339" s="4" t="s">
        <v>235</v>
      </c>
      <c r="C339" s="5" t="s">
        <v>79</v>
      </c>
      <c r="D339" s="151">
        <v>4244</v>
      </c>
      <c r="E339" s="153">
        <v>4434</v>
      </c>
      <c r="F339" s="151"/>
      <c r="G339" s="153"/>
      <c r="H339" s="151"/>
      <c r="I339" s="153"/>
      <c r="J339" s="151"/>
      <c r="K339" s="153"/>
      <c r="L339" s="151">
        <v>218</v>
      </c>
      <c r="M339" s="153">
        <v>218</v>
      </c>
      <c r="N339" s="151"/>
      <c r="O339" s="153"/>
      <c r="P339" s="151"/>
      <c r="Q339" s="153"/>
      <c r="R339" s="151"/>
      <c r="S339" s="153"/>
      <c r="T339" s="151"/>
      <c r="U339" s="153"/>
      <c r="V339" s="151"/>
      <c r="W339" s="153"/>
      <c r="X339" s="151"/>
      <c r="Y339" s="153"/>
      <c r="Z339" s="61">
        <f t="shared" si="59"/>
        <v>4462</v>
      </c>
      <c r="AA339" s="75">
        <f t="shared" si="60"/>
        <v>4652</v>
      </c>
      <c r="AB339" s="151"/>
      <c r="AC339" s="153"/>
      <c r="AD339" s="151">
        <v>850</v>
      </c>
      <c r="AE339" s="97">
        <v>920</v>
      </c>
      <c r="AF339" s="43">
        <v>670</v>
      </c>
      <c r="AG339" s="97">
        <v>1230</v>
      </c>
      <c r="AH339" s="151"/>
      <c r="AI339" s="153"/>
      <c r="AJ339" s="151"/>
      <c r="AK339" s="153"/>
      <c r="AL339" s="151"/>
      <c r="AM339" s="153"/>
      <c r="AN339" s="151"/>
      <c r="AO339" s="153"/>
      <c r="AP339" s="61">
        <f t="shared" si="61"/>
        <v>5982</v>
      </c>
      <c r="AQ339" s="75">
        <f t="shared" si="62"/>
        <v>6802</v>
      </c>
      <c r="AR339" s="150" t="s">
        <v>128</v>
      </c>
    </row>
    <row r="340" spans="1:44" x14ac:dyDescent="0.25">
      <c r="A340" s="4" t="s">
        <v>241</v>
      </c>
      <c r="B340" s="4" t="s">
        <v>98</v>
      </c>
      <c r="C340" s="5" t="s">
        <v>99</v>
      </c>
      <c r="D340" s="151"/>
      <c r="E340" s="153"/>
      <c r="F340" s="151"/>
      <c r="G340" s="153"/>
      <c r="H340" s="151"/>
      <c r="I340" s="153"/>
      <c r="J340" s="151"/>
      <c r="K340" s="153"/>
      <c r="L340" s="151"/>
      <c r="M340" s="153"/>
      <c r="N340" s="151"/>
      <c r="O340" s="153"/>
      <c r="P340" s="151"/>
      <c r="Q340" s="153"/>
      <c r="R340" s="151">
        <v>320</v>
      </c>
      <c r="S340" s="153">
        <v>300</v>
      </c>
      <c r="T340" s="151"/>
      <c r="U340" s="153"/>
      <c r="V340" s="151"/>
      <c r="W340" s="153"/>
      <c r="X340" s="151"/>
      <c r="Y340" s="153"/>
      <c r="Z340" s="61">
        <f t="shared" si="59"/>
        <v>320</v>
      </c>
      <c r="AA340" s="75">
        <f t="shared" si="60"/>
        <v>300</v>
      </c>
      <c r="AB340" s="151">
        <v>14</v>
      </c>
      <c r="AC340" s="153">
        <v>14</v>
      </c>
      <c r="AD340" s="151">
        <v>100</v>
      </c>
      <c r="AE340" s="97">
        <v>96</v>
      </c>
      <c r="AF340" s="43">
        <v>190</v>
      </c>
      <c r="AG340" s="97">
        <v>180</v>
      </c>
      <c r="AH340" s="151"/>
      <c r="AI340" s="153"/>
      <c r="AJ340" s="151"/>
      <c r="AK340" s="153"/>
      <c r="AL340" s="151"/>
      <c r="AM340" s="153"/>
      <c r="AN340" s="151"/>
      <c r="AO340" s="153"/>
      <c r="AP340" s="61">
        <f t="shared" si="61"/>
        <v>624</v>
      </c>
      <c r="AQ340" s="75">
        <f t="shared" si="62"/>
        <v>590</v>
      </c>
      <c r="AR340" s="150" t="s">
        <v>58</v>
      </c>
    </row>
    <row r="341" spans="1:44" ht="26.25" x14ac:dyDescent="0.25">
      <c r="A341" s="4" t="s">
        <v>241</v>
      </c>
      <c r="B341" s="4" t="s">
        <v>65</v>
      </c>
      <c r="C341" s="5" t="s">
        <v>60</v>
      </c>
      <c r="D341" s="151">
        <v>190483</v>
      </c>
      <c r="E341" s="153">
        <v>162575</v>
      </c>
      <c r="F341" s="151">
        <v>30</v>
      </c>
      <c r="G341" s="153">
        <v>20</v>
      </c>
      <c r="H341" s="151"/>
      <c r="I341" s="153"/>
      <c r="J341" s="151">
        <v>102</v>
      </c>
      <c r="K341" s="153">
        <v>80</v>
      </c>
      <c r="L341" s="151">
        <v>1790</v>
      </c>
      <c r="M341" s="153">
        <v>2000</v>
      </c>
      <c r="N341" s="151">
        <v>2820</v>
      </c>
      <c r="O341" s="153">
        <v>2700</v>
      </c>
      <c r="P341" s="151"/>
      <c r="Q341" s="153"/>
      <c r="R341" s="151">
        <v>6810</v>
      </c>
      <c r="S341" s="153">
        <v>6500</v>
      </c>
      <c r="T341" s="151"/>
      <c r="U341" s="153"/>
      <c r="V341" s="151"/>
      <c r="W341" s="153"/>
      <c r="X341" s="151"/>
      <c r="Y341" s="153"/>
      <c r="Z341" s="61">
        <f t="shared" si="59"/>
        <v>202035</v>
      </c>
      <c r="AA341" s="75">
        <f t="shared" si="60"/>
        <v>173875</v>
      </c>
      <c r="AB341" s="151"/>
      <c r="AC341" s="153"/>
      <c r="AD341" s="151">
        <v>4195</v>
      </c>
      <c r="AE341" s="153">
        <v>4195</v>
      </c>
      <c r="AF341" s="43">
        <v>5345</v>
      </c>
      <c r="AG341" s="97">
        <v>5597</v>
      </c>
      <c r="AH341" s="151"/>
      <c r="AI341" s="153"/>
      <c r="AJ341" s="151"/>
      <c r="AK341" s="153"/>
      <c r="AL341" s="151"/>
      <c r="AM341" s="153"/>
      <c r="AN341" s="151"/>
      <c r="AO341" s="153"/>
      <c r="AP341" s="61">
        <f t="shared" si="61"/>
        <v>211575</v>
      </c>
      <c r="AQ341" s="75">
        <f t="shared" si="62"/>
        <v>183667</v>
      </c>
      <c r="AR341" s="150" t="s">
        <v>61</v>
      </c>
    </row>
    <row r="342" spans="1:44" ht="26.25" x14ac:dyDescent="0.25">
      <c r="A342" s="4" t="s">
        <v>241</v>
      </c>
      <c r="B342" s="4" t="s">
        <v>62</v>
      </c>
      <c r="C342" s="5" t="s">
        <v>60</v>
      </c>
      <c r="D342" s="151"/>
      <c r="E342" s="153"/>
      <c r="F342" s="151"/>
      <c r="G342" s="153"/>
      <c r="H342" s="151"/>
      <c r="I342" s="153"/>
      <c r="J342" s="151"/>
      <c r="K342" s="153"/>
      <c r="L342" s="151"/>
      <c r="M342" s="153"/>
      <c r="N342" s="151"/>
      <c r="O342" s="153"/>
      <c r="P342" s="151"/>
      <c r="Q342" s="153"/>
      <c r="R342" s="151"/>
      <c r="S342" s="153"/>
      <c r="T342" s="151"/>
      <c r="U342" s="153"/>
      <c r="V342" s="151"/>
      <c r="W342" s="153"/>
      <c r="X342" s="151"/>
      <c r="Y342" s="153"/>
      <c r="Z342" s="61">
        <f t="shared" si="59"/>
        <v>0</v>
      </c>
      <c r="AA342" s="75">
        <f t="shared" si="60"/>
        <v>0</v>
      </c>
      <c r="AB342" s="151"/>
      <c r="AC342" s="153"/>
      <c r="AD342" s="151">
        <v>19973</v>
      </c>
      <c r="AE342" s="153">
        <f>21202-AG342</f>
        <v>20602</v>
      </c>
      <c r="AF342" s="151">
        <v>600</v>
      </c>
      <c r="AG342" s="153">
        <v>600</v>
      </c>
      <c r="AH342" s="151"/>
      <c r="AI342" s="153"/>
      <c r="AJ342" s="151"/>
      <c r="AK342" s="153"/>
      <c r="AL342" s="151"/>
      <c r="AM342" s="153"/>
      <c r="AN342" s="151"/>
      <c r="AO342" s="153"/>
      <c r="AP342" s="61">
        <f t="shared" si="61"/>
        <v>20573</v>
      </c>
      <c r="AQ342" s="75">
        <f t="shared" si="62"/>
        <v>21202</v>
      </c>
      <c r="AR342" s="150" t="s">
        <v>171</v>
      </c>
    </row>
    <row r="343" spans="1:44" x14ac:dyDescent="0.25">
      <c r="A343" s="4" t="s">
        <v>241</v>
      </c>
      <c r="B343" s="4" t="s">
        <v>64</v>
      </c>
      <c r="C343" s="5" t="s">
        <v>60</v>
      </c>
      <c r="D343" s="151"/>
      <c r="E343" s="153"/>
      <c r="F343" s="151"/>
      <c r="G343" s="153"/>
      <c r="H343" s="151"/>
      <c r="I343" s="153"/>
      <c r="J343" s="151"/>
      <c r="K343" s="153"/>
      <c r="L343" s="151"/>
      <c r="M343" s="153"/>
      <c r="N343" s="151"/>
      <c r="O343" s="153"/>
      <c r="P343" s="151"/>
      <c r="Q343" s="153"/>
      <c r="R343" s="151"/>
      <c r="S343" s="153"/>
      <c r="T343" s="151"/>
      <c r="U343" s="153"/>
      <c r="V343" s="151"/>
      <c r="W343" s="153"/>
      <c r="X343" s="151"/>
      <c r="Y343" s="153"/>
      <c r="Z343" s="61">
        <f t="shared" si="59"/>
        <v>0</v>
      </c>
      <c r="AA343" s="75">
        <f t="shared" si="60"/>
        <v>0</v>
      </c>
      <c r="AB343" s="151"/>
      <c r="AC343" s="153"/>
      <c r="AD343" s="143">
        <v>32932</v>
      </c>
      <c r="AE343" s="153">
        <v>32668</v>
      </c>
      <c r="AF343" s="151"/>
      <c r="AG343" s="153"/>
      <c r="AH343" s="151"/>
      <c r="AI343" s="153"/>
      <c r="AJ343" s="151"/>
      <c r="AK343" s="153"/>
      <c r="AL343" s="151"/>
      <c r="AM343" s="153"/>
      <c r="AN343" s="151"/>
      <c r="AO343" s="153"/>
      <c r="AP343" s="61">
        <f t="shared" si="61"/>
        <v>32932</v>
      </c>
      <c r="AQ343" s="75">
        <f t="shared" si="62"/>
        <v>32668</v>
      </c>
      <c r="AR343" s="150" t="s">
        <v>171</v>
      </c>
    </row>
    <row r="344" spans="1:44" x14ac:dyDescent="0.25">
      <c r="A344" s="4" t="s">
        <v>241</v>
      </c>
      <c r="B344" s="4" t="s">
        <v>69</v>
      </c>
      <c r="C344" s="5" t="s">
        <v>70</v>
      </c>
      <c r="D344" s="151">
        <v>1698</v>
      </c>
      <c r="E344" s="153">
        <v>1780</v>
      </c>
      <c r="F344" s="151"/>
      <c r="G344" s="153"/>
      <c r="H344" s="151"/>
      <c r="I344" s="153"/>
      <c r="J344" s="151"/>
      <c r="K344" s="153"/>
      <c r="L344" s="151"/>
      <c r="M344" s="153"/>
      <c r="N344" s="151"/>
      <c r="O344" s="153"/>
      <c r="P344" s="151"/>
      <c r="Q344" s="153"/>
      <c r="R344" s="151"/>
      <c r="S344" s="153"/>
      <c r="T344" s="151"/>
      <c r="U344" s="153"/>
      <c r="V344" s="151"/>
      <c r="W344" s="153"/>
      <c r="X344" s="151"/>
      <c r="Y344" s="153"/>
      <c r="Z344" s="61">
        <f t="shared" si="59"/>
        <v>1698</v>
      </c>
      <c r="AA344" s="75">
        <f t="shared" si="60"/>
        <v>1780</v>
      </c>
      <c r="AB344" s="151"/>
      <c r="AC344" s="153"/>
      <c r="AD344" s="151">
        <v>951</v>
      </c>
      <c r="AE344" s="153">
        <v>903</v>
      </c>
      <c r="AF344" s="151">
        <v>600</v>
      </c>
      <c r="AG344" s="153">
        <v>570</v>
      </c>
      <c r="AH344" s="151"/>
      <c r="AI344" s="153"/>
      <c r="AJ344" s="151"/>
      <c r="AK344" s="153"/>
      <c r="AL344" s="151"/>
      <c r="AM344" s="153"/>
      <c r="AN344" s="151"/>
      <c r="AO344" s="153"/>
      <c r="AP344" s="61">
        <f t="shared" si="61"/>
        <v>3249</v>
      </c>
      <c r="AQ344" s="75">
        <f t="shared" si="62"/>
        <v>3253</v>
      </c>
      <c r="AR344" s="150" t="s">
        <v>71</v>
      </c>
    </row>
    <row r="345" spans="1:44" x14ac:dyDescent="0.25">
      <c r="A345" s="4" t="s">
        <v>241</v>
      </c>
      <c r="B345" s="4" t="s">
        <v>77</v>
      </c>
      <c r="C345" s="5" t="s">
        <v>73</v>
      </c>
      <c r="D345" s="151">
        <v>33802</v>
      </c>
      <c r="E345" s="153">
        <v>33325</v>
      </c>
      <c r="F345" s="151">
        <v>70</v>
      </c>
      <c r="G345" s="153">
        <v>300</v>
      </c>
      <c r="H345" s="151"/>
      <c r="I345" s="153"/>
      <c r="J345" s="151"/>
      <c r="K345" s="153"/>
      <c r="L345" s="151">
        <v>1370</v>
      </c>
      <c r="M345" s="153">
        <v>1300</v>
      </c>
      <c r="N345" s="151">
        <v>100</v>
      </c>
      <c r="O345" s="153">
        <v>130</v>
      </c>
      <c r="P345" s="151">
        <v>5768</v>
      </c>
      <c r="Q345" s="153">
        <v>5768</v>
      </c>
      <c r="R345" s="151">
        <v>2100</v>
      </c>
      <c r="S345" s="153">
        <v>2000</v>
      </c>
      <c r="T345" s="151"/>
      <c r="U345" s="153"/>
      <c r="V345" s="151"/>
      <c r="W345" s="153"/>
      <c r="X345" s="151"/>
      <c r="Y345" s="153"/>
      <c r="Z345" s="61">
        <f t="shared" si="59"/>
        <v>43210</v>
      </c>
      <c r="AA345" s="75">
        <f t="shared" si="60"/>
        <v>42823</v>
      </c>
      <c r="AB345" s="151"/>
      <c r="AC345" s="153"/>
      <c r="AD345" s="151">
        <v>4360</v>
      </c>
      <c r="AE345" s="97">
        <v>4360</v>
      </c>
      <c r="AF345" s="151">
        <v>7660</v>
      </c>
      <c r="AG345" s="153">
        <v>7660</v>
      </c>
      <c r="AH345" s="151"/>
      <c r="AI345" s="153"/>
      <c r="AJ345" s="151"/>
      <c r="AK345" s="153"/>
      <c r="AL345" s="151"/>
      <c r="AM345" s="153"/>
      <c r="AN345" s="151"/>
      <c r="AO345" s="153"/>
      <c r="AP345" s="61">
        <f t="shared" si="61"/>
        <v>55230</v>
      </c>
      <c r="AQ345" s="75">
        <f t="shared" si="62"/>
        <v>54843</v>
      </c>
      <c r="AR345" s="150" t="s">
        <v>74</v>
      </c>
    </row>
    <row r="346" spans="1:44" x14ac:dyDescent="0.25">
      <c r="A346" s="4" t="s">
        <v>241</v>
      </c>
      <c r="B346" s="4" t="s">
        <v>242</v>
      </c>
      <c r="C346" s="5" t="s">
        <v>73</v>
      </c>
      <c r="D346" s="151">
        <v>9083</v>
      </c>
      <c r="E346" s="153">
        <v>9685</v>
      </c>
      <c r="F346" s="151">
        <v>50</v>
      </c>
      <c r="G346" s="153">
        <v>50</v>
      </c>
      <c r="H346" s="151"/>
      <c r="I346" s="153"/>
      <c r="J346" s="151">
        <v>40</v>
      </c>
      <c r="K346" s="153">
        <v>40</v>
      </c>
      <c r="L346" s="151">
        <v>218</v>
      </c>
      <c r="M346" s="153">
        <v>218</v>
      </c>
      <c r="N346" s="151"/>
      <c r="O346" s="153"/>
      <c r="P346" s="151"/>
      <c r="Q346" s="153"/>
      <c r="R346" s="151"/>
      <c r="S346" s="153"/>
      <c r="T346" s="151"/>
      <c r="U346" s="153"/>
      <c r="V346" s="151"/>
      <c r="W346" s="153"/>
      <c r="X346" s="151"/>
      <c r="Y346" s="153"/>
      <c r="Z346" s="61">
        <f t="shared" si="59"/>
        <v>9391</v>
      </c>
      <c r="AA346" s="75">
        <f t="shared" si="60"/>
        <v>9993</v>
      </c>
      <c r="AB346" s="151"/>
      <c r="AC346" s="153">
        <v>15</v>
      </c>
      <c r="AD346" s="151">
        <v>240</v>
      </c>
      <c r="AE346" s="153">
        <v>270</v>
      </c>
      <c r="AF346" s="151">
        <v>810</v>
      </c>
      <c r="AG346" s="153">
        <v>727</v>
      </c>
      <c r="AH346" s="151">
        <v>1900</v>
      </c>
      <c r="AI346" s="153">
        <v>1840</v>
      </c>
      <c r="AJ346" s="151"/>
      <c r="AK346" s="153"/>
      <c r="AL346" s="151"/>
      <c r="AM346" s="153"/>
      <c r="AN346" s="151"/>
      <c r="AO346" s="153"/>
      <c r="AP346" s="61">
        <f t="shared" si="61"/>
        <v>12341</v>
      </c>
      <c r="AQ346" s="75">
        <f t="shared" si="62"/>
        <v>12845</v>
      </c>
      <c r="AR346" s="150" t="s">
        <v>74</v>
      </c>
    </row>
    <row r="347" spans="1:44" x14ac:dyDescent="0.25">
      <c r="A347" s="4" t="s">
        <v>241</v>
      </c>
      <c r="B347" s="4" t="s">
        <v>243</v>
      </c>
      <c r="C347" s="5" t="s">
        <v>73</v>
      </c>
      <c r="D347" s="151">
        <v>7207</v>
      </c>
      <c r="E347" s="153">
        <v>7682</v>
      </c>
      <c r="F347" s="151">
        <v>20</v>
      </c>
      <c r="G347" s="153">
        <v>20</v>
      </c>
      <c r="H347" s="151"/>
      <c r="I347" s="153"/>
      <c r="J347" s="151">
        <v>45</v>
      </c>
      <c r="K347" s="153">
        <v>35</v>
      </c>
      <c r="L347" s="151">
        <v>270</v>
      </c>
      <c r="M347" s="153">
        <v>250</v>
      </c>
      <c r="N347" s="151"/>
      <c r="O347" s="153"/>
      <c r="P347" s="151"/>
      <c r="Q347" s="153"/>
      <c r="R347" s="151"/>
      <c r="S347" s="153"/>
      <c r="T347" s="151"/>
      <c r="U347" s="153"/>
      <c r="V347" s="151"/>
      <c r="W347" s="153"/>
      <c r="X347" s="151"/>
      <c r="Y347" s="153"/>
      <c r="Z347" s="61">
        <f t="shared" si="59"/>
        <v>7542</v>
      </c>
      <c r="AA347" s="75">
        <f t="shared" si="60"/>
        <v>7987</v>
      </c>
      <c r="AB347" s="151"/>
      <c r="AC347" s="153"/>
      <c r="AD347" s="151">
        <v>240</v>
      </c>
      <c r="AE347" s="153">
        <v>200</v>
      </c>
      <c r="AF347" s="151">
        <v>750</v>
      </c>
      <c r="AG347" s="153">
        <v>600</v>
      </c>
      <c r="AH347" s="151">
        <v>1124</v>
      </c>
      <c r="AI347" s="153">
        <v>1079</v>
      </c>
      <c r="AJ347" s="151"/>
      <c r="AK347" s="153"/>
      <c r="AL347" s="151"/>
      <c r="AM347" s="153"/>
      <c r="AN347" s="151"/>
      <c r="AO347" s="153"/>
      <c r="AP347" s="61">
        <f t="shared" si="61"/>
        <v>9656</v>
      </c>
      <c r="AQ347" s="75">
        <f t="shared" si="62"/>
        <v>9866</v>
      </c>
      <c r="AR347" s="150" t="s">
        <v>74</v>
      </c>
    </row>
    <row r="348" spans="1:44" x14ac:dyDescent="0.25">
      <c r="A348" s="44" t="s">
        <v>241</v>
      </c>
      <c r="B348" s="44" t="s">
        <v>244</v>
      </c>
      <c r="C348" s="46" t="s">
        <v>73</v>
      </c>
      <c r="D348" s="151"/>
      <c r="E348" s="153"/>
      <c r="F348" s="151"/>
      <c r="G348" s="153"/>
      <c r="H348" s="151"/>
      <c r="I348" s="153"/>
      <c r="J348" s="151"/>
      <c r="K348" s="153"/>
      <c r="L348" s="151"/>
      <c r="M348" s="153"/>
      <c r="N348" s="151"/>
      <c r="O348" s="153"/>
      <c r="P348" s="151">
        <v>3500</v>
      </c>
      <c r="Q348" s="153">
        <v>3500</v>
      </c>
      <c r="R348" s="151"/>
      <c r="S348" s="153"/>
      <c r="T348" s="151"/>
      <c r="U348" s="153"/>
      <c r="V348" s="151"/>
      <c r="W348" s="153"/>
      <c r="X348" s="151"/>
      <c r="Y348" s="153"/>
      <c r="Z348" s="61">
        <f t="shared" si="59"/>
        <v>3500</v>
      </c>
      <c r="AA348" s="75">
        <f t="shared" si="60"/>
        <v>3500</v>
      </c>
      <c r="AB348" s="151"/>
      <c r="AC348" s="153"/>
      <c r="AD348" s="151"/>
      <c r="AE348" s="153"/>
      <c r="AF348" s="151"/>
      <c r="AG348" s="153">
        <v>500</v>
      </c>
      <c r="AH348" s="151"/>
      <c r="AI348" s="153"/>
      <c r="AJ348" s="151"/>
      <c r="AK348" s="153"/>
      <c r="AL348" s="151"/>
      <c r="AM348" s="153"/>
      <c r="AN348" s="151"/>
      <c r="AO348" s="153"/>
      <c r="AP348" s="61">
        <f t="shared" si="61"/>
        <v>3500</v>
      </c>
      <c r="AQ348" s="75">
        <f t="shared" si="62"/>
        <v>4000</v>
      </c>
      <c r="AR348" s="150" t="s">
        <v>167</v>
      </c>
    </row>
    <row r="349" spans="1:44" x14ac:dyDescent="0.25">
      <c r="A349" s="4" t="s">
        <v>241</v>
      </c>
      <c r="B349" s="4" t="s">
        <v>245</v>
      </c>
      <c r="C349" s="5" t="s">
        <v>82</v>
      </c>
      <c r="D349" s="151">
        <v>114897</v>
      </c>
      <c r="E349" s="153">
        <v>137467</v>
      </c>
      <c r="F349" s="151">
        <v>317</v>
      </c>
      <c r="G349" s="153">
        <v>300</v>
      </c>
      <c r="H349" s="151"/>
      <c r="I349" s="153"/>
      <c r="J349" s="151">
        <v>2660</v>
      </c>
      <c r="K349" s="153">
        <v>2660</v>
      </c>
      <c r="L349" s="151">
        <v>8900</v>
      </c>
      <c r="M349" s="153">
        <v>8900</v>
      </c>
      <c r="N349" s="151">
        <v>895</v>
      </c>
      <c r="O349" s="153">
        <v>1100</v>
      </c>
      <c r="P349" s="151">
        <v>12900</v>
      </c>
      <c r="Q349" s="153">
        <v>12900</v>
      </c>
      <c r="R349" s="151">
        <v>2160</v>
      </c>
      <c r="S349" s="153">
        <v>1500</v>
      </c>
      <c r="T349" s="151">
        <v>14393</v>
      </c>
      <c r="U349" s="97">
        <v>14827</v>
      </c>
      <c r="V349" s="151">
        <v>7960</v>
      </c>
      <c r="W349" s="153">
        <v>7960</v>
      </c>
      <c r="X349" s="151"/>
      <c r="Y349" s="153"/>
      <c r="Z349" s="61">
        <f t="shared" si="59"/>
        <v>165082</v>
      </c>
      <c r="AA349" s="75">
        <f t="shared" si="60"/>
        <v>187614</v>
      </c>
      <c r="AB349" s="151">
        <v>50</v>
      </c>
      <c r="AC349" s="153">
        <v>50</v>
      </c>
      <c r="AD349" s="151">
        <v>3250</v>
      </c>
      <c r="AE349" s="97">
        <v>3600</v>
      </c>
      <c r="AF349" s="151">
        <v>5880</v>
      </c>
      <c r="AG349" s="153">
        <v>5880</v>
      </c>
      <c r="AH349" s="151">
        <v>100</v>
      </c>
      <c r="AI349" s="153">
        <v>150</v>
      </c>
      <c r="AJ349" s="151"/>
      <c r="AK349" s="153"/>
      <c r="AL349" s="151"/>
      <c r="AM349" s="153"/>
      <c r="AN349" s="151"/>
      <c r="AO349" s="153"/>
      <c r="AP349" s="61">
        <f t="shared" si="61"/>
        <v>174362</v>
      </c>
      <c r="AQ349" s="75">
        <f t="shared" si="62"/>
        <v>197294</v>
      </c>
      <c r="AR349" s="150" t="s">
        <v>128</v>
      </c>
    </row>
    <row r="350" spans="1:44" x14ac:dyDescent="0.25">
      <c r="A350" s="4" t="s">
        <v>241</v>
      </c>
      <c r="B350" s="4" t="s">
        <v>90</v>
      </c>
      <c r="C350" s="5" t="s">
        <v>82</v>
      </c>
      <c r="D350" s="151"/>
      <c r="E350" s="153"/>
      <c r="F350" s="151"/>
      <c r="G350" s="153"/>
      <c r="H350" s="151"/>
      <c r="I350" s="153"/>
      <c r="J350" s="151"/>
      <c r="K350" s="153"/>
      <c r="L350" s="151"/>
      <c r="M350" s="153"/>
      <c r="N350" s="151"/>
      <c r="O350" s="153"/>
      <c r="P350" s="151"/>
      <c r="Q350" s="153"/>
      <c r="R350" s="151"/>
      <c r="S350" s="153"/>
      <c r="T350" s="151">
        <v>1113</v>
      </c>
      <c r="U350" s="153">
        <v>1300</v>
      </c>
      <c r="V350" s="151"/>
      <c r="W350" s="153"/>
      <c r="X350" s="151"/>
      <c r="Y350" s="153"/>
      <c r="Z350" s="61">
        <f t="shared" si="59"/>
        <v>1113</v>
      </c>
      <c r="AA350" s="75">
        <f t="shared" si="60"/>
        <v>1300</v>
      </c>
      <c r="AB350" s="151"/>
      <c r="AC350" s="153"/>
      <c r="AD350" s="151"/>
      <c r="AE350" s="153"/>
      <c r="AF350" s="151"/>
      <c r="AG350" s="153"/>
      <c r="AH350" s="151"/>
      <c r="AI350" s="153"/>
      <c r="AJ350" s="151"/>
      <c r="AK350" s="153"/>
      <c r="AL350" s="151"/>
      <c r="AM350" s="153"/>
      <c r="AN350" s="151"/>
      <c r="AO350" s="153"/>
      <c r="AP350" s="61">
        <f t="shared" si="61"/>
        <v>1113</v>
      </c>
      <c r="AQ350" s="75">
        <f t="shared" si="62"/>
        <v>1300</v>
      </c>
      <c r="AR350" s="150" t="s">
        <v>128</v>
      </c>
    </row>
    <row r="351" spans="1:44" ht="26.25" x14ac:dyDescent="0.25">
      <c r="A351" s="4" t="s">
        <v>241</v>
      </c>
      <c r="B351" s="4" t="s">
        <v>83</v>
      </c>
      <c r="C351" s="5" t="s">
        <v>82</v>
      </c>
      <c r="D351" s="151">
        <f>89811+1899</f>
        <v>91710</v>
      </c>
      <c r="E351" s="153">
        <v>89113</v>
      </c>
      <c r="F351" s="151"/>
      <c r="G351" s="153"/>
      <c r="H351" s="151"/>
      <c r="I351" s="153"/>
      <c r="J351" s="151"/>
      <c r="K351" s="153"/>
      <c r="L351" s="151"/>
      <c r="M351" s="153"/>
      <c r="N351" s="151"/>
      <c r="O351" s="153"/>
      <c r="P351" s="151"/>
      <c r="Q351" s="153"/>
      <c r="R351" s="151"/>
      <c r="S351" s="153"/>
      <c r="T351" s="151"/>
      <c r="U351" s="153"/>
      <c r="V351" s="151"/>
      <c r="W351" s="153"/>
      <c r="X351" s="151"/>
      <c r="Y351" s="153"/>
      <c r="Z351" s="61">
        <f t="shared" si="59"/>
        <v>91710</v>
      </c>
      <c r="AA351" s="75">
        <f t="shared" si="60"/>
        <v>89113</v>
      </c>
      <c r="AB351" s="151"/>
      <c r="AC351" s="153"/>
      <c r="AD351" s="151"/>
      <c r="AE351" s="153"/>
      <c r="AF351" s="151"/>
      <c r="AG351" s="153"/>
      <c r="AH351" s="151"/>
      <c r="AI351" s="153"/>
      <c r="AJ351" s="151"/>
      <c r="AK351" s="153"/>
      <c r="AL351" s="151"/>
      <c r="AM351" s="153"/>
      <c r="AN351" s="151"/>
      <c r="AO351" s="153"/>
      <c r="AP351" s="61">
        <f t="shared" si="61"/>
        <v>91710</v>
      </c>
      <c r="AQ351" s="75">
        <f t="shared" si="62"/>
        <v>89113</v>
      </c>
      <c r="AR351" s="150" t="s">
        <v>128</v>
      </c>
    </row>
    <row r="352" spans="1:44" x14ac:dyDescent="0.25">
      <c r="A352" s="4" t="s">
        <v>241</v>
      </c>
      <c r="B352" s="4" t="s">
        <v>85</v>
      </c>
      <c r="C352" s="5" t="s">
        <v>86</v>
      </c>
      <c r="D352" s="151">
        <v>25225</v>
      </c>
      <c r="E352" s="153">
        <v>27422</v>
      </c>
      <c r="F352" s="151">
        <v>1908</v>
      </c>
      <c r="G352" s="153">
        <v>1810</v>
      </c>
      <c r="H352" s="151"/>
      <c r="I352" s="153"/>
      <c r="J352" s="151">
        <v>1500</v>
      </c>
      <c r="K352" s="153">
        <v>1500</v>
      </c>
      <c r="L352" s="151">
        <v>12120</v>
      </c>
      <c r="M352" s="153">
        <v>11000</v>
      </c>
      <c r="N352" s="151">
        <v>999</v>
      </c>
      <c r="O352" s="153">
        <v>1050</v>
      </c>
      <c r="P352" s="151">
        <v>19360</v>
      </c>
      <c r="Q352" s="153">
        <v>19360</v>
      </c>
      <c r="R352" s="151">
        <v>1400</v>
      </c>
      <c r="S352" s="153">
        <v>1300</v>
      </c>
      <c r="T352" s="151">
        <v>3435</v>
      </c>
      <c r="U352" s="97">
        <v>3067</v>
      </c>
      <c r="V352" s="151">
        <v>7517</v>
      </c>
      <c r="W352" s="153">
        <v>7517</v>
      </c>
      <c r="X352" s="151"/>
      <c r="Y352" s="153"/>
      <c r="Z352" s="61">
        <f t="shared" si="59"/>
        <v>73464</v>
      </c>
      <c r="AA352" s="75">
        <f t="shared" si="60"/>
        <v>74026</v>
      </c>
      <c r="AB352" s="151"/>
      <c r="AC352" s="153"/>
      <c r="AD352" s="151">
        <v>2881</v>
      </c>
      <c r="AE352" s="153">
        <v>2880</v>
      </c>
      <c r="AF352" s="151">
        <v>7500</v>
      </c>
      <c r="AG352" s="153">
        <v>7500</v>
      </c>
      <c r="AH352" s="151"/>
      <c r="AI352" s="153">
        <v>0</v>
      </c>
      <c r="AJ352" s="151"/>
      <c r="AK352" s="153"/>
      <c r="AL352" s="151"/>
      <c r="AM352" s="153"/>
      <c r="AN352" s="151"/>
      <c r="AO352" s="153"/>
      <c r="AP352" s="61">
        <f t="shared" si="61"/>
        <v>83845</v>
      </c>
      <c r="AQ352" s="75">
        <f t="shared" si="62"/>
        <v>84406</v>
      </c>
      <c r="AR352" s="150" t="s">
        <v>128</v>
      </c>
    </row>
    <row r="353" spans="1:44" ht="26.25" x14ac:dyDescent="0.25">
      <c r="A353" s="4" t="s">
        <v>241</v>
      </c>
      <c r="B353" s="4" t="s">
        <v>88</v>
      </c>
      <c r="C353" s="5" t="s">
        <v>86</v>
      </c>
      <c r="D353" s="151"/>
      <c r="E353" s="153"/>
      <c r="F353" s="151"/>
      <c r="G353" s="153"/>
      <c r="H353" s="151"/>
      <c r="I353" s="153"/>
      <c r="J353" s="151"/>
      <c r="K353" s="153"/>
      <c r="L353" s="151"/>
      <c r="M353" s="153"/>
      <c r="N353" s="151"/>
      <c r="O353" s="153"/>
      <c r="P353" s="151"/>
      <c r="Q353" s="153"/>
      <c r="R353" s="151"/>
      <c r="S353" s="153"/>
      <c r="T353" s="151">
        <v>2931</v>
      </c>
      <c r="U353" s="97">
        <v>3067</v>
      </c>
      <c r="V353" s="151"/>
      <c r="W353" s="153"/>
      <c r="X353" s="151"/>
      <c r="Y353" s="153"/>
      <c r="Z353" s="61">
        <f t="shared" si="59"/>
        <v>2931</v>
      </c>
      <c r="AA353" s="75">
        <f t="shared" si="60"/>
        <v>3067</v>
      </c>
      <c r="AB353" s="151"/>
      <c r="AC353" s="153"/>
      <c r="AD353" s="151"/>
      <c r="AE353" s="153"/>
      <c r="AF353" s="151"/>
      <c r="AG353" s="153"/>
      <c r="AH353" s="151"/>
      <c r="AI353" s="153"/>
      <c r="AJ353" s="151"/>
      <c r="AK353" s="153"/>
      <c r="AL353" s="151"/>
      <c r="AM353" s="153"/>
      <c r="AN353" s="151"/>
      <c r="AO353" s="153"/>
      <c r="AP353" s="61">
        <f t="shared" si="61"/>
        <v>2931</v>
      </c>
      <c r="AQ353" s="75">
        <f t="shared" si="62"/>
        <v>3067</v>
      </c>
      <c r="AR353" s="150" t="s">
        <v>128</v>
      </c>
    </row>
    <row r="354" spans="1:44" ht="26.25" x14ac:dyDescent="0.25">
      <c r="A354" s="4" t="s">
        <v>241</v>
      </c>
      <c r="B354" s="4" t="s">
        <v>89</v>
      </c>
      <c r="C354" s="5" t="s">
        <v>86</v>
      </c>
      <c r="D354" s="151"/>
      <c r="E354" s="153"/>
      <c r="F354" s="151"/>
      <c r="G354" s="153"/>
      <c r="H354" s="151"/>
      <c r="I354" s="153"/>
      <c r="J354" s="151"/>
      <c r="K354" s="153"/>
      <c r="L354" s="151"/>
      <c r="M354" s="153"/>
      <c r="N354" s="151"/>
      <c r="O354" s="153"/>
      <c r="P354" s="151"/>
      <c r="Q354" s="153"/>
      <c r="R354" s="151"/>
      <c r="S354" s="153"/>
      <c r="T354" s="151">
        <v>2931</v>
      </c>
      <c r="U354" s="97">
        <v>3067</v>
      </c>
      <c r="V354" s="151"/>
      <c r="W354" s="153"/>
      <c r="X354" s="151"/>
      <c r="Y354" s="153"/>
      <c r="Z354" s="61">
        <f t="shared" si="59"/>
        <v>2931</v>
      </c>
      <c r="AA354" s="75">
        <f t="shared" si="60"/>
        <v>3067</v>
      </c>
      <c r="AB354" s="151"/>
      <c r="AC354" s="153"/>
      <c r="AD354" s="151"/>
      <c r="AE354" s="153"/>
      <c r="AF354" s="151"/>
      <c r="AG354" s="153"/>
      <c r="AH354" s="151"/>
      <c r="AI354" s="153"/>
      <c r="AJ354" s="151"/>
      <c r="AK354" s="153"/>
      <c r="AL354" s="151"/>
      <c r="AM354" s="153"/>
      <c r="AN354" s="151"/>
      <c r="AO354" s="153"/>
      <c r="AP354" s="61">
        <f t="shared" si="61"/>
        <v>2931</v>
      </c>
      <c r="AQ354" s="75">
        <f t="shared" si="62"/>
        <v>3067</v>
      </c>
      <c r="AR354" s="150" t="s">
        <v>128</v>
      </c>
    </row>
    <row r="355" spans="1:44" x14ac:dyDescent="0.25">
      <c r="A355" s="4" t="s">
        <v>241</v>
      </c>
      <c r="B355" s="4" t="s">
        <v>90</v>
      </c>
      <c r="C355" s="5" t="s">
        <v>86</v>
      </c>
      <c r="D355" s="151"/>
      <c r="E355" s="153"/>
      <c r="F355" s="151"/>
      <c r="G355" s="153"/>
      <c r="H355" s="151"/>
      <c r="I355" s="153"/>
      <c r="J355" s="151"/>
      <c r="K355" s="153"/>
      <c r="L355" s="151"/>
      <c r="M355" s="153"/>
      <c r="N355" s="151"/>
      <c r="O355" s="153"/>
      <c r="P355" s="151"/>
      <c r="Q355" s="153"/>
      <c r="R355" s="151"/>
      <c r="S355" s="153"/>
      <c r="T355" s="151">
        <v>1614</v>
      </c>
      <c r="U355" s="97">
        <v>1614</v>
      </c>
      <c r="V355" s="151"/>
      <c r="W355" s="153"/>
      <c r="X355" s="151"/>
      <c r="Y355" s="153"/>
      <c r="Z355" s="61">
        <f t="shared" si="59"/>
        <v>1614</v>
      </c>
      <c r="AA355" s="75">
        <f t="shared" si="60"/>
        <v>1614</v>
      </c>
      <c r="AB355" s="151"/>
      <c r="AC355" s="153"/>
      <c r="AD355" s="151"/>
      <c r="AE355" s="153"/>
      <c r="AF355" s="151"/>
      <c r="AG355" s="153"/>
      <c r="AH355" s="151"/>
      <c r="AI355" s="153"/>
      <c r="AJ355" s="151"/>
      <c r="AK355" s="153"/>
      <c r="AL355" s="151"/>
      <c r="AM355" s="153"/>
      <c r="AN355" s="151"/>
      <c r="AO355" s="153"/>
      <c r="AP355" s="61">
        <f t="shared" si="61"/>
        <v>1614</v>
      </c>
      <c r="AQ355" s="75">
        <f t="shared" si="62"/>
        <v>1614</v>
      </c>
      <c r="AR355" s="150" t="s">
        <v>128</v>
      </c>
    </row>
    <row r="356" spans="1:44" ht="26.25" x14ac:dyDescent="0.25">
      <c r="A356" s="4" t="s">
        <v>241</v>
      </c>
      <c r="B356" s="4" t="s">
        <v>87</v>
      </c>
      <c r="C356" s="5" t="s">
        <v>86</v>
      </c>
      <c r="D356" s="151">
        <v>2690</v>
      </c>
      <c r="E356" s="153">
        <v>8236</v>
      </c>
      <c r="F356" s="151"/>
      <c r="G356" s="153"/>
      <c r="H356" s="151"/>
      <c r="I356" s="153"/>
      <c r="J356" s="151"/>
      <c r="K356" s="153"/>
      <c r="L356" s="151"/>
      <c r="M356" s="153"/>
      <c r="N356" s="151"/>
      <c r="O356" s="153"/>
      <c r="P356" s="151"/>
      <c r="Q356" s="153"/>
      <c r="R356" s="151"/>
      <c r="S356" s="153"/>
      <c r="T356" s="151"/>
      <c r="U356" s="153"/>
      <c r="V356" s="151"/>
      <c r="W356" s="153"/>
      <c r="X356" s="151"/>
      <c r="Y356" s="153"/>
      <c r="Z356" s="61">
        <f t="shared" si="59"/>
        <v>2690</v>
      </c>
      <c r="AA356" s="75">
        <f t="shared" si="60"/>
        <v>8236</v>
      </c>
      <c r="AB356" s="151"/>
      <c r="AC356" s="153"/>
      <c r="AD356" s="151"/>
      <c r="AE356" s="153"/>
      <c r="AF356" s="151"/>
      <c r="AG356" s="153"/>
      <c r="AH356" s="151"/>
      <c r="AI356" s="153"/>
      <c r="AJ356" s="151"/>
      <c r="AK356" s="153"/>
      <c r="AL356" s="151"/>
      <c r="AM356" s="153"/>
      <c r="AN356" s="151"/>
      <c r="AO356" s="153"/>
      <c r="AP356" s="61">
        <f t="shared" si="61"/>
        <v>2690</v>
      </c>
      <c r="AQ356" s="75">
        <f t="shared" si="62"/>
        <v>8236</v>
      </c>
      <c r="AR356" s="150" t="s">
        <v>80</v>
      </c>
    </row>
    <row r="357" spans="1:44" x14ac:dyDescent="0.25">
      <c r="A357" s="4" t="s">
        <v>241</v>
      </c>
      <c r="B357" s="4" t="s">
        <v>97</v>
      </c>
      <c r="C357" s="5" t="s">
        <v>96</v>
      </c>
      <c r="D357" s="151"/>
      <c r="E357" s="153"/>
      <c r="F357" s="151"/>
      <c r="G357" s="153"/>
      <c r="H357" s="151"/>
      <c r="I357" s="153"/>
      <c r="J357" s="151"/>
      <c r="K357" s="153"/>
      <c r="L357" s="151"/>
      <c r="M357" s="153"/>
      <c r="N357" s="151"/>
      <c r="O357" s="153"/>
      <c r="P357" s="151"/>
      <c r="Q357" s="153"/>
      <c r="R357" s="151">
        <v>14620</v>
      </c>
      <c r="S357" s="153">
        <v>14620</v>
      </c>
      <c r="T357" s="151"/>
      <c r="U357" s="153"/>
      <c r="V357" s="151">
        <v>2240</v>
      </c>
      <c r="W357" s="153">
        <v>2240</v>
      </c>
      <c r="X357" s="151"/>
      <c r="Y357" s="153"/>
      <c r="Z357" s="61">
        <f t="shared" si="59"/>
        <v>16860</v>
      </c>
      <c r="AA357" s="75">
        <f t="shared" si="60"/>
        <v>16860</v>
      </c>
      <c r="AB357" s="151"/>
      <c r="AC357" s="153"/>
      <c r="AD357" s="151"/>
      <c r="AE357" s="153"/>
      <c r="AF357" s="151"/>
      <c r="AG357" s="153"/>
      <c r="AH357" s="151"/>
      <c r="AI357" s="153"/>
      <c r="AJ357" s="151"/>
      <c r="AK357" s="153"/>
      <c r="AL357" s="151"/>
      <c r="AM357" s="153"/>
      <c r="AN357" s="151"/>
      <c r="AO357" s="153"/>
      <c r="AP357" s="61">
        <f t="shared" si="61"/>
        <v>16860</v>
      </c>
      <c r="AQ357" s="75">
        <f t="shared" si="62"/>
        <v>16860</v>
      </c>
      <c r="AR357" s="150" t="s">
        <v>80</v>
      </c>
    </row>
    <row r="358" spans="1:44" ht="30" x14ac:dyDescent="0.25">
      <c r="A358" s="4" t="s">
        <v>241</v>
      </c>
      <c r="B358" s="4" t="s">
        <v>246</v>
      </c>
      <c r="C358" s="5" t="s">
        <v>104</v>
      </c>
      <c r="D358" s="151"/>
      <c r="E358" s="153"/>
      <c r="F358" s="151"/>
      <c r="G358" s="153"/>
      <c r="H358" s="151"/>
      <c r="I358" s="153"/>
      <c r="J358" s="151">
        <v>86</v>
      </c>
      <c r="K358" s="153">
        <v>200</v>
      </c>
      <c r="L358" s="151">
        <v>1040</v>
      </c>
      <c r="M358" s="153">
        <v>990</v>
      </c>
      <c r="N358" s="151"/>
      <c r="O358" s="153"/>
      <c r="P358" s="151"/>
      <c r="Q358" s="153"/>
      <c r="R358" s="151"/>
      <c r="S358" s="153"/>
      <c r="T358" s="151"/>
      <c r="U358" s="153"/>
      <c r="V358" s="151"/>
      <c r="W358" s="153"/>
      <c r="X358" s="151"/>
      <c r="Y358" s="153"/>
      <c r="Z358" s="61">
        <f t="shared" si="59"/>
        <v>1126</v>
      </c>
      <c r="AA358" s="75">
        <f t="shared" si="60"/>
        <v>1190</v>
      </c>
      <c r="AB358" s="151"/>
      <c r="AC358" s="153"/>
      <c r="AD358" s="151"/>
      <c r="AE358" s="153"/>
      <c r="AF358" s="151">
        <v>80</v>
      </c>
      <c r="AG358" s="153">
        <v>80</v>
      </c>
      <c r="AH358" s="151"/>
      <c r="AI358" s="153"/>
      <c r="AJ358" s="151"/>
      <c r="AK358" s="153"/>
      <c r="AL358" s="151"/>
      <c r="AM358" s="153"/>
      <c r="AN358" s="151"/>
      <c r="AO358" s="153"/>
      <c r="AP358" s="61">
        <f t="shared" si="61"/>
        <v>1206</v>
      </c>
      <c r="AQ358" s="75">
        <f t="shared" si="62"/>
        <v>1270</v>
      </c>
      <c r="AR358" s="150" t="s">
        <v>102</v>
      </c>
    </row>
    <row r="359" spans="1:44" ht="30" x14ac:dyDescent="0.25">
      <c r="A359" s="4" t="s">
        <v>241</v>
      </c>
      <c r="B359" s="4" t="s">
        <v>103</v>
      </c>
      <c r="C359" s="5" t="s">
        <v>104</v>
      </c>
      <c r="D359" s="151"/>
      <c r="E359" s="153"/>
      <c r="F359" s="151"/>
      <c r="G359" s="153"/>
      <c r="H359" s="151"/>
      <c r="I359" s="153"/>
      <c r="J359" s="151"/>
      <c r="K359" s="153"/>
      <c r="L359" s="151"/>
      <c r="M359" s="153"/>
      <c r="N359" s="151"/>
      <c r="O359" s="153"/>
      <c r="P359" s="151"/>
      <c r="Q359" s="153"/>
      <c r="R359" s="151">
        <v>1050</v>
      </c>
      <c r="S359" s="153">
        <v>1000</v>
      </c>
      <c r="T359" s="151"/>
      <c r="U359" s="153"/>
      <c r="V359" s="151"/>
      <c r="W359" s="153"/>
      <c r="X359" s="151"/>
      <c r="Y359" s="153"/>
      <c r="Z359" s="61">
        <f t="shared" si="59"/>
        <v>1050</v>
      </c>
      <c r="AA359" s="75">
        <f t="shared" si="60"/>
        <v>1000</v>
      </c>
      <c r="AB359" s="151"/>
      <c r="AC359" s="153"/>
      <c r="AD359" s="151"/>
      <c r="AE359" s="153"/>
      <c r="AF359" s="151">
        <v>300</v>
      </c>
      <c r="AG359" s="153">
        <v>300</v>
      </c>
      <c r="AH359" s="151"/>
      <c r="AI359" s="153"/>
      <c r="AJ359" s="151"/>
      <c r="AK359" s="153"/>
      <c r="AL359" s="151"/>
      <c r="AM359" s="153"/>
      <c r="AN359" s="151"/>
      <c r="AO359" s="153"/>
      <c r="AP359" s="61">
        <f t="shared" si="61"/>
        <v>1350</v>
      </c>
      <c r="AQ359" s="75">
        <f t="shared" si="62"/>
        <v>1300</v>
      </c>
      <c r="AR359" s="150" t="s">
        <v>102</v>
      </c>
    </row>
    <row r="360" spans="1:44" x14ac:dyDescent="0.25">
      <c r="A360" s="4" t="s">
        <v>241</v>
      </c>
      <c r="B360" s="4" t="s">
        <v>91</v>
      </c>
      <c r="C360" s="5" t="s">
        <v>86</v>
      </c>
      <c r="D360" s="143">
        <v>112032</v>
      </c>
      <c r="E360" s="153">
        <v>117656</v>
      </c>
      <c r="F360" s="151"/>
      <c r="G360" s="153"/>
      <c r="H360" s="151"/>
      <c r="I360" s="153"/>
      <c r="J360" s="151"/>
      <c r="K360" s="153"/>
      <c r="L360" s="151"/>
      <c r="M360" s="153"/>
      <c r="N360" s="151"/>
      <c r="O360" s="153"/>
      <c r="P360" s="151"/>
      <c r="Q360" s="153"/>
      <c r="R360" s="151"/>
      <c r="S360" s="153"/>
      <c r="T360" s="151"/>
      <c r="U360" s="153"/>
      <c r="V360" s="151"/>
      <c r="W360" s="153"/>
      <c r="X360" s="151"/>
      <c r="Y360" s="153"/>
      <c r="Z360" s="61">
        <f t="shared" si="59"/>
        <v>112032</v>
      </c>
      <c r="AA360" s="75">
        <f t="shared" si="60"/>
        <v>117656</v>
      </c>
      <c r="AB360" s="151"/>
      <c r="AC360" s="153"/>
      <c r="AD360" s="151"/>
      <c r="AE360" s="153"/>
      <c r="AF360" s="151"/>
      <c r="AG360" s="153"/>
      <c r="AH360" s="151"/>
      <c r="AI360" s="153"/>
      <c r="AJ360" s="151"/>
      <c r="AK360" s="153"/>
      <c r="AL360" s="151"/>
      <c r="AM360" s="153"/>
      <c r="AN360" s="151"/>
      <c r="AO360" s="153"/>
      <c r="AP360" s="61">
        <f t="shared" si="61"/>
        <v>112032</v>
      </c>
      <c r="AQ360" s="75">
        <f t="shared" si="62"/>
        <v>117656</v>
      </c>
      <c r="AR360" s="150" t="s">
        <v>128</v>
      </c>
    </row>
    <row r="361" spans="1:44" ht="26.25" x14ac:dyDescent="0.25">
      <c r="A361" s="4" t="s">
        <v>241</v>
      </c>
      <c r="B361" s="4" t="s">
        <v>247</v>
      </c>
      <c r="C361" s="5" t="s">
        <v>93</v>
      </c>
      <c r="D361" s="143">
        <v>4584</v>
      </c>
      <c r="E361" s="153">
        <v>3460</v>
      </c>
      <c r="F361" s="151"/>
      <c r="G361" s="153"/>
      <c r="H361" s="151"/>
      <c r="I361" s="153"/>
      <c r="J361" s="151"/>
      <c r="K361" s="153"/>
      <c r="L361" s="151"/>
      <c r="M361" s="153"/>
      <c r="N361" s="151"/>
      <c r="O361" s="153"/>
      <c r="P361" s="151"/>
      <c r="Q361" s="153"/>
      <c r="R361" s="151"/>
      <c r="S361" s="153"/>
      <c r="T361" s="151"/>
      <c r="U361" s="153"/>
      <c r="V361" s="151"/>
      <c r="W361" s="153"/>
      <c r="X361" s="151"/>
      <c r="Y361" s="153"/>
      <c r="Z361" s="61">
        <f t="shared" si="59"/>
        <v>4584</v>
      </c>
      <c r="AA361" s="75">
        <f t="shared" si="60"/>
        <v>3460</v>
      </c>
      <c r="AB361" s="151"/>
      <c r="AC361" s="153"/>
      <c r="AD361" s="151"/>
      <c r="AE361" s="153"/>
      <c r="AF361" s="151"/>
      <c r="AG361" s="153"/>
      <c r="AH361" s="151"/>
      <c r="AI361" s="153"/>
      <c r="AJ361" s="151"/>
      <c r="AK361" s="153"/>
      <c r="AL361" s="151"/>
      <c r="AM361" s="153"/>
      <c r="AN361" s="151"/>
      <c r="AO361" s="153"/>
      <c r="AP361" s="61">
        <f t="shared" si="61"/>
        <v>4584</v>
      </c>
      <c r="AQ361" s="75">
        <f t="shared" si="62"/>
        <v>3460</v>
      </c>
      <c r="AR361" s="150" t="s">
        <v>128</v>
      </c>
    </row>
    <row r="362" spans="1:44" ht="26.25" x14ac:dyDescent="0.25">
      <c r="A362" s="4" t="s">
        <v>241</v>
      </c>
      <c r="B362" s="4" t="s">
        <v>196</v>
      </c>
      <c r="C362" s="5" t="s">
        <v>93</v>
      </c>
      <c r="D362" s="143">
        <v>1024</v>
      </c>
      <c r="E362" s="153">
        <v>1610</v>
      </c>
      <c r="F362" s="151"/>
      <c r="G362" s="153"/>
      <c r="H362" s="151"/>
      <c r="I362" s="153"/>
      <c r="J362" s="151"/>
      <c r="K362" s="153"/>
      <c r="L362" s="151"/>
      <c r="M362" s="153"/>
      <c r="N362" s="151"/>
      <c r="O362" s="153"/>
      <c r="P362" s="151"/>
      <c r="Q362" s="153"/>
      <c r="R362" s="151"/>
      <c r="S362" s="153"/>
      <c r="T362" s="151"/>
      <c r="U362" s="153"/>
      <c r="V362" s="151"/>
      <c r="W362" s="153"/>
      <c r="X362" s="151"/>
      <c r="Y362" s="153"/>
      <c r="Z362" s="61">
        <f t="shared" si="59"/>
        <v>1024</v>
      </c>
      <c r="AA362" s="75">
        <f t="shared" si="60"/>
        <v>1610</v>
      </c>
      <c r="AB362" s="151"/>
      <c r="AC362" s="153"/>
      <c r="AD362" s="151"/>
      <c r="AE362" s="153"/>
      <c r="AF362" s="151"/>
      <c r="AG362" s="153"/>
      <c r="AH362" s="151"/>
      <c r="AI362" s="153"/>
      <c r="AJ362" s="151"/>
      <c r="AK362" s="153"/>
      <c r="AL362" s="151"/>
      <c r="AM362" s="153"/>
      <c r="AN362" s="151"/>
      <c r="AO362" s="153"/>
      <c r="AP362" s="61">
        <f t="shared" si="61"/>
        <v>1024</v>
      </c>
      <c r="AQ362" s="75">
        <f t="shared" si="62"/>
        <v>1610</v>
      </c>
      <c r="AR362" s="150" t="s">
        <v>128</v>
      </c>
    </row>
    <row r="363" spans="1:44" ht="26.25" x14ac:dyDescent="0.25">
      <c r="A363" s="4" t="s">
        <v>241</v>
      </c>
      <c r="B363" s="4" t="s">
        <v>84</v>
      </c>
      <c r="C363" s="5" t="s">
        <v>82</v>
      </c>
      <c r="D363" s="143">
        <v>41048</v>
      </c>
      <c r="E363" s="153">
        <v>54968</v>
      </c>
      <c r="F363" s="151"/>
      <c r="G363" s="153"/>
      <c r="H363" s="151"/>
      <c r="I363" s="153"/>
      <c r="J363" s="151"/>
      <c r="K363" s="153"/>
      <c r="L363" s="151"/>
      <c r="M363" s="153"/>
      <c r="N363" s="151"/>
      <c r="O363" s="153"/>
      <c r="P363" s="151"/>
      <c r="Q363" s="153"/>
      <c r="R363" s="151"/>
      <c r="S363" s="153"/>
      <c r="T363" s="151"/>
      <c r="U363" s="153"/>
      <c r="V363" s="151"/>
      <c r="W363" s="153"/>
      <c r="X363" s="151"/>
      <c r="Y363" s="153"/>
      <c r="Z363" s="61">
        <f t="shared" si="59"/>
        <v>41048</v>
      </c>
      <c r="AA363" s="75">
        <f t="shared" si="60"/>
        <v>54968</v>
      </c>
      <c r="AB363" s="151"/>
      <c r="AC363" s="153"/>
      <c r="AD363" s="151"/>
      <c r="AE363" s="153"/>
      <c r="AF363" s="151"/>
      <c r="AG363" s="153"/>
      <c r="AH363" s="151"/>
      <c r="AI363" s="153"/>
      <c r="AJ363" s="151"/>
      <c r="AK363" s="153"/>
      <c r="AL363" s="151"/>
      <c r="AM363" s="153"/>
      <c r="AN363" s="151"/>
      <c r="AO363" s="153"/>
      <c r="AP363" s="61">
        <f t="shared" si="61"/>
        <v>41048</v>
      </c>
      <c r="AQ363" s="75">
        <f t="shared" si="62"/>
        <v>54968</v>
      </c>
      <c r="AR363" s="150" t="s">
        <v>128</v>
      </c>
    </row>
    <row r="364" spans="1:44" ht="30" x14ac:dyDescent="0.25">
      <c r="A364" s="4" t="s">
        <v>241</v>
      </c>
      <c r="B364" s="4" t="s">
        <v>100</v>
      </c>
      <c r="C364" s="5" t="s">
        <v>101</v>
      </c>
      <c r="D364" s="151"/>
      <c r="E364" s="153"/>
      <c r="F364" s="151"/>
      <c r="G364" s="153"/>
      <c r="H364" s="151"/>
      <c r="I364" s="153"/>
      <c r="J364" s="151"/>
      <c r="K364" s="153"/>
      <c r="L364" s="151"/>
      <c r="M364" s="153"/>
      <c r="N364" s="151"/>
      <c r="O364" s="153"/>
      <c r="P364" s="151"/>
      <c r="Q364" s="153"/>
      <c r="R364" s="151"/>
      <c r="S364" s="153"/>
      <c r="T364" s="151"/>
      <c r="U364" s="153"/>
      <c r="V364" s="151"/>
      <c r="W364" s="153"/>
      <c r="X364" s="151"/>
      <c r="Y364" s="153"/>
      <c r="Z364" s="61">
        <f t="shared" si="59"/>
        <v>0</v>
      </c>
      <c r="AA364" s="75">
        <f t="shared" si="60"/>
        <v>0</v>
      </c>
      <c r="AB364" s="151"/>
      <c r="AC364" s="153"/>
      <c r="AD364" s="151"/>
      <c r="AE364" s="153"/>
      <c r="AF364" s="151"/>
      <c r="AG364" s="153"/>
      <c r="AH364" s="151"/>
      <c r="AI364" s="153"/>
      <c r="AJ364" s="151"/>
      <c r="AK364" s="153"/>
      <c r="AL364" s="151">
        <v>18103</v>
      </c>
      <c r="AM364" s="153">
        <v>18103</v>
      </c>
      <c r="AN364" s="151"/>
      <c r="AO364" s="153"/>
      <c r="AP364" s="61">
        <f t="shared" si="61"/>
        <v>18103</v>
      </c>
      <c r="AQ364" s="75">
        <f t="shared" si="62"/>
        <v>18103</v>
      </c>
      <c r="AR364" s="150" t="s">
        <v>102</v>
      </c>
    </row>
    <row r="365" spans="1:44" x14ac:dyDescent="0.25">
      <c r="A365" s="4" t="s">
        <v>241</v>
      </c>
      <c r="B365" s="4" t="s">
        <v>105</v>
      </c>
      <c r="C365" s="5"/>
      <c r="D365" s="151">
        <v>11343</v>
      </c>
      <c r="E365" s="153">
        <v>11491</v>
      </c>
      <c r="F365" s="151"/>
      <c r="G365" s="153"/>
      <c r="H365" s="151"/>
      <c r="I365" s="153"/>
      <c r="J365" s="151"/>
      <c r="K365" s="153"/>
      <c r="L365" s="151"/>
      <c r="M365" s="153"/>
      <c r="N365" s="151"/>
      <c r="O365" s="153"/>
      <c r="P365" s="151"/>
      <c r="Q365" s="153"/>
      <c r="R365" s="151"/>
      <c r="S365" s="153"/>
      <c r="T365" s="151"/>
      <c r="U365" s="153"/>
      <c r="V365" s="151"/>
      <c r="W365" s="153"/>
      <c r="X365" s="151"/>
      <c r="Y365" s="153"/>
      <c r="Z365" s="61">
        <f t="shared" si="59"/>
        <v>11343</v>
      </c>
      <c r="AA365" s="75">
        <f t="shared" si="60"/>
        <v>11491</v>
      </c>
      <c r="AB365" s="151"/>
      <c r="AC365" s="153"/>
      <c r="AD365" s="151"/>
      <c r="AE365" s="153"/>
      <c r="AF365" s="151"/>
      <c r="AG365" s="153"/>
      <c r="AH365" s="151"/>
      <c r="AI365" s="153"/>
      <c r="AJ365" s="151"/>
      <c r="AK365" s="153"/>
      <c r="AL365" s="151"/>
      <c r="AM365" s="153"/>
      <c r="AN365" s="151"/>
      <c r="AO365" s="153"/>
      <c r="AP365" s="61">
        <f t="shared" si="61"/>
        <v>11343</v>
      </c>
      <c r="AQ365" s="75">
        <f t="shared" si="62"/>
        <v>11491</v>
      </c>
      <c r="AR365" s="150" t="s">
        <v>58</v>
      </c>
    </row>
    <row r="366" spans="1:44" x14ac:dyDescent="0.25">
      <c r="A366" s="4" t="s">
        <v>241</v>
      </c>
      <c r="B366" s="4" t="s">
        <v>106</v>
      </c>
      <c r="C366" s="5"/>
      <c r="D366" s="151">
        <v>9104</v>
      </c>
      <c r="E366" s="153">
        <v>9019</v>
      </c>
      <c r="F366" s="151"/>
      <c r="G366" s="153"/>
      <c r="H366" s="151"/>
      <c r="I366" s="153"/>
      <c r="J366" s="151"/>
      <c r="K366" s="153"/>
      <c r="L366" s="151"/>
      <c r="M366" s="153"/>
      <c r="N366" s="151"/>
      <c r="O366" s="153"/>
      <c r="P366" s="151"/>
      <c r="Q366" s="153"/>
      <c r="R366" s="151"/>
      <c r="S366" s="153"/>
      <c r="T366" s="151"/>
      <c r="U366" s="153"/>
      <c r="V366" s="151"/>
      <c r="W366" s="153"/>
      <c r="X366" s="151"/>
      <c r="Y366" s="153"/>
      <c r="Z366" s="61">
        <f t="shared" si="59"/>
        <v>9104</v>
      </c>
      <c r="AA366" s="75">
        <f t="shared" si="60"/>
        <v>9019</v>
      </c>
      <c r="AB366" s="151"/>
      <c r="AC366" s="153"/>
      <c r="AD366" s="151"/>
      <c r="AE366" s="153"/>
      <c r="AF366" s="151"/>
      <c r="AG366" s="153"/>
      <c r="AH366" s="151"/>
      <c r="AI366" s="153"/>
      <c r="AJ366" s="151"/>
      <c r="AK366" s="153"/>
      <c r="AL366" s="151"/>
      <c r="AM366" s="153"/>
      <c r="AN366" s="151"/>
      <c r="AO366" s="153"/>
      <c r="AP366" s="61">
        <f t="shared" si="61"/>
        <v>9104</v>
      </c>
      <c r="AQ366" s="75">
        <f t="shared" si="62"/>
        <v>9019</v>
      </c>
      <c r="AR366" s="150" t="s">
        <v>58</v>
      </c>
    </row>
    <row r="367" spans="1:44" x14ac:dyDescent="0.25">
      <c r="A367" s="16" t="s">
        <v>248</v>
      </c>
      <c r="B367" s="16" t="s">
        <v>108</v>
      </c>
      <c r="C367" s="17"/>
      <c r="D367" s="18">
        <f t="shared" ref="D367:AQ367" si="63">SUM(D338:D366)</f>
        <v>706336</v>
      </c>
      <c r="E367" s="105">
        <f t="shared" si="63"/>
        <v>728509</v>
      </c>
      <c r="F367" s="18">
        <f t="shared" si="63"/>
        <v>5023</v>
      </c>
      <c r="G367" s="18">
        <f t="shared" si="63"/>
        <v>4900</v>
      </c>
      <c r="H367" s="18">
        <f t="shared" si="63"/>
        <v>0</v>
      </c>
      <c r="I367" s="18">
        <f t="shared" si="63"/>
        <v>0</v>
      </c>
      <c r="J367" s="18">
        <f t="shared" si="63"/>
        <v>4943</v>
      </c>
      <c r="K367" s="18">
        <f t="shared" si="63"/>
        <v>4995</v>
      </c>
      <c r="L367" s="18">
        <f t="shared" si="63"/>
        <v>27607</v>
      </c>
      <c r="M367" s="18">
        <f t="shared" si="63"/>
        <v>26776</v>
      </c>
      <c r="N367" s="18">
        <f t="shared" si="63"/>
        <v>4814</v>
      </c>
      <c r="O367" s="18">
        <f t="shared" si="63"/>
        <v>4980</v>
      </c>
      <c r="P367" s="18">
        <f t="shared" si="63"/>
        <v>46728</v>
      </c>
      <c r="Q367" s="18">
        <f t="shared" si="63"/>
        <v>46728</v>
      </c>
      <c r="R367" s="18">
        <f t="shared" si="63"/>
        <v>29780</v>
      </c>
      <c r="S367" s="18">
        <f t="shared" si="63"/>
        <v>28474</v>
      </c>
      <c r="T367" s="18">
        <f t="shared" si="63"/>
        <v>26417</v>
      </c>
      <c r="U367" s="18">
        <f t="shared" si="63"/>
        <v>26942</v>
      </c>
      <c r="V367" s="18">
        <f t="shared" si="63"/>
        <v>17717</v>
      </c>
      <c r="W367" s="18">
        <f t="shared" si="63"/>
        <v>17717</v>
      </c>
      <c r="X367" s="18">
        <f t="shared" si="63"/>
        <v>0</v>
      </c>
      <c r="Y367" s="18">
        <f t="shared" si="63"/>
        <v>0</v>
      </c>
      <c r="Z367" s="18">
        <f t="shared" si="63"/>
        <v>869365</v>
      </c>
      <c r="AA367" s="18">
        <f t="shared" si="63"/>
        <v>890021</v>
      </c>
      <c r="AB367" s="18">
        <f t="shared" si="63"/>
        <v>64</v>
      </c>
      <c r="AC367" s="18">
        <f t="shared" si="63"/>
        <v>79</v>
      </c>
      <c r="AD367" s="18">
        <f t="shared" si="63"/>
        <v>75242</v>
      </c>
      <c r="AE367" s="18">
        <f t="shared" si="63"/>
        <v>75694</v>
      </c>
      <c r="AF367" s="18">
        <f t="shared" si="63"/>
        <v>35355</v>
      </c>
      <c r="AG367" s="18">
        <f t="shared" si="63"/>
        <v>36394</v>
      </c>
      <c r="AH367" s="18">
        <f t="shared" si="63"/>
        <v>3200</v>
      </c>
      <c r="AI367" s="18">
        <f t="shared" si="63"/>
        <v>3145</v>
      </c>
      <c r="AJ367" s="18">
        <f t="shared" si="63"/>
        <v>0</v>
      </c>
      <c r="AK367" s="18">
        <f t="shared" si="63"/>
        <v>0</v>
      </c>
      <c r="AL367" s="18">
        <f t="shared" si="63"/>
        <v>18103</v>
      </c>
      <c r="AM367" s="18">
        <f t="shared" si="63"/>
        <v>18103</v>
      </c>
      <c r="AN367" s="18">
        <f t="shared" si="63"/>
        <v>0</v>
      </c>
      <c r="AO367" s="18">
        <f t="shared" si="63"/>
        <v>0</v>
      </c>
      <c r="AP367" s="18">
        <f t="shared" si="63"/>
        <v>1001329</v>
      </c>
      <c r="AQ367" s="18">
        <f t="shared" si="63"/>
        <v>1023436</v>
      </c>
      <c r="AR367" s="150"/>
    </row>
    <row r="368" spans="1:44" x14ac:dyDescent="0.25">
      <c r="A368" s="4" t="s">
        <v>249</v>
      </c>
      <c r="B368" s="4" t="s">
        <v>56</v>
      </c>
      <c r="C368" s="5" t="s">
        <v>57</v>
      </c>
      <c r="D368" s="151">
        <v>17005</v>
      </c>
      <c r="E368" s="153">
        <v>12740</v>
      </c>
      <c r="F368" s="151">
        <v>4440</v>
      </c>
      <c r="G368" s="153">
        <v>1000</v>
      </c>
      <c r="H368" s="151"/>
      <c r="I368" s="153"/>
      <c r="J368" s="151">
        <v>400</v>
      </c>
      <c r="K368" s="153">
        <v>400</v>
      </c>
      <c r="L368" s="151">
        <v>2450</v>
      </c>
      <c r="M368" s="153">
        <v>2000</v>
      </c>
      <c r="N368" s="151">
        <v>332</v>
      </c>
      <c r="O368" s="153">
        <v>150</v>
      </c>
      <c r="P368" s="151">
        <v>2300</v>
      </c>
      <c r="Q368" s="153">
        <v>2000</v>
      </c>
      <c r="R368" s="151">
        <v>6200</v>
      </c>
      <c r="S368" s="153">
        <v>5200</v>
      </c>
      <c r="T368" s="151"/>
      <c r="U368" s="153"/>
      <c r="V368" s="151"/>
      <c r="W368" s="153"/>
      <c r="X368" s="151"/>
      <c r="Y368" s="153"/>
      <c r="Z368" s="61">
        <f t="shared" ref="Z368:Z389" si="64">D368+F368+H368+J368+L368+P368+R368+T368+V368+X368+N368</f>
        <v>33127</v>
      </c>
      <c r="AA368" s="75">
        <f t="shared" ref="AA368:AA389" si="65">E368+G368+I368+K368+M368+Q368+S368+U368+W368+Y368+O368</f>
        <v>23490</v>
      </c>
      <c r="AB368" s="151">
        <v>60</v>
      </c>
      <c r="AC368" s="153">
        <v>60</v>
      </c>
      <c r="AD368" s="151">
        <v>11300</v>
      </c>
      <c r="AE368" s="153">
        <v>9300</v>
      </c>
      <c r="AF368" s="151">
        <v>14050</v>
      </c>
      <c r="AG368" s="153">
        <v>11000</v>
      </c>
      <c r="AH368" s="151"/>
      <c r="AI368" s="153"/>
      <c r="AJ368" s="151"/>
      <c r="AK368" s="153"/>
      <c r="AL368" s="151"/>
      <c r="AM368" s="153"/>
      <c r="AN368" s="151"/>
      <c r="AO368" s="153"/>
      <c r="AP368" s="61">
        <f t="shared" ref="AP368:AP389" si="66">Z368+AB368+AD368+AF368+AH368+AJ368+AL368+AN368</f>
        <v>58537</v>
      </c>
      <c r="AQ368" s="75">
        <f t="shared" ref="AQ368:AQ389" si="67">AA368+AC368+AE368+AG368+AI368+AK368+AM368+AO368</f>
        <v>43850</v>
      </c>
      <c r="AR368" s="150" t="s">
        <v>58</v>
      </c>
    </row>
    <row r="369" spans="1:44" x14ac:dyDescent="0.25">
      <c r="A369" s="4" t="s">
        <v>249</v>
      </c>
      <c r="B369" s="4" t="s">
        <v>98</v>
      </c>
      <c r="C369" s="5" t="s">
        <v>99</v>
      </c>
      <c r="D369" s="151"/>
      <c r="E369" s="153"/>
      <c r="F369" s="151"/>
      <c r="G369" s="153"/>
      <c r="H369" s="151"/>
      <c r="I369" s="153"/>
      <c r="J369" s="151"/>
      <c r="K369" s="153"/>
      <c r="L369" s="151"/>
      <c r="M369" s="153"/>
      <c r="N369" s="151"/>
      <c r="O369" s="153"/>
      <c r="P369" s="151"/>
      <c r="Q369" s="153"/>
      <c r="R369" s="151">
        <v>240</v>
      </c>
      <c r="S369" s="153">
        <v>240</v>
      </c>
      <c r="T369" s="151"/>
      <c r="U369" s="153"/>
      <c r="V369" s="151"/>
      <c r="W369" s="153"/>
      <c r="X369" s="151"/>
      <c r="Y369" s="153"/>
      <c r="Z369" s="61">
        <f t="shared" si="64"/>
        <v>240</v>
      </c>
      <c r="AA369" s="75">
        <f t="shared" si="65"/>
        <v>240</v>
      </c>
      <c r="AB369" s="151"/>
      <c r="AC369" s="153"/>
      <c r="AD369" s="151">
        <v>50</v>
      </c>
      <c r="AE369" s="153">
        <v>50</v>
      </c>
      <c r="AF369" s="151">
        <v>100</v>
      </c>
      <c r="AG369" s="153">
        <v>100</v>
      </c>
      <c r="AH369" s="151"/>
      <c r="AI369" s="153"/>
      <c r="AJ369" s="151"/>
      <c r="AK369" s="153"/>
      <c r="AL369" s="151"/>
      <c r="AM369" s="153"/>
      <c r="AN369" s="151"/>
      <c r="AO369" s="153"/>
      <c r="AP369" s="61">
        <f t="shared" si="66"/>
        <v>390</v>
      </c>
      <c r="AQ369" s="75">
        <f t="shared" si="67"/>
        <v>390</v>
      </c>
      <c r="AR369" s="150" t="s">
        <v>58</v>
      </c>
    </row>
    <row r="370" spans="1:44" ht="26.25" x14ac:dyDescent="0.25">
      <c r="A370" s="4" t="s">
        <v>249</v>
      </c>
      <c r="B370" s="4" t="s">
        <v>250</v>
      </c>
      <c r="C370" s="5" t="s">
        <v>60</v>
      </c>
      <c r="D370" s="151">
        <v>98443</v>
      </c>
      <c r="E370" s="153">
        <v>112432</v>
      </c>
      <c r="F370" s="151">
        <v>110</v>
      </c>
      <c r="G370" s="153">
        <v>400</v>
      </c>
      <c r="H370" s="151"/>
      <c r="I370" s="153"/>
      <c r="J370" s="151">
        <v>500</v>
      </c>
      <c r="K370" s="153">
        <v>500</v>
      </c>
      <c r="L370" s="151">
        <v>2600</v>
      </c>
      <c r="M370" s="153">
        <v>3000</v>
      </c>
      <c r="N370" s="151">
        <v>928</v>
      </c>
      <c r="O370" s="153">
        <v>1100</v>
      </c>
      <c r="P370" s="151"/>
      <c r="Q370" s="153"/>
      <c r="R370" s="151">
        <v>3900</v>
      </c>
      <c r="S370" s="153">
        <v>6300</v>
      </c>
      <c r="T370" s="151"/>
      <c r="U370" s="153"/>
      <c r="V370" s="151"/>
      <c r="W370" s="153"/>
      <c r="X370" s="151"/>
      <c r="Y370" s="153"/>
      <c r="Z370" s="61">
        <f t="shared" si="64"/>
        <v>106481</v>
      </c>
      <c r="AA370" s="75">
        <f t="shared" si="65"/>
        <v>123732</v>
      </c>
      <c r="AB370" s="151"/>
      <c r="AC370" s="153"/>
      <c r="AD370" s="151">
        <v>13500</v>
      </c>
      <c r="AE370" s="153">
        <v>10500</v>
      </c>
      <c r="AF370" s="151">
        <v>14000</v>
      </c>
      <c r="AG370" s="153">
        <v>11000</v>
      </c>
      <c r="AH370" s="151"/>
      <c r="AI370" s="153"/>
      <c r="AJ370" s="151"/>
      <c r="AK370" s="153"/>
      <c r="AL370" s="151"/>
      <c r="AM370" s="153"/>
      <c r="AN370" s="151"/>
      <c r="AO370" s="153"/>
      <c r="AP370" s="61">
        <f t="shared" si="66"/>
        <v>133981</v>
      </c>
      <c r="AQ370" s="75">
        <f t="shared" si="67"/>
        <v>145232</v>
      </c>
      <c r="AR370" s="150" t="s">
        <v>61</v>
      </c>
    </row>
    <row r="371" spans="1:44" x14ac:dyDescent="0.25">
      <c r="A371" s="4" t="s">
        <v>249</v>
      </c>
      <c r="B371" s="4" t="s">
        <v>251</v>
      </c>
      <c r="C371" s="160" t="s">
        <v>73</v>
      </c>
      <c r="D371" s="151"/>
      <c r="E371" s="153"/>
      <c r="F371" s="151"/>
      <c r="G371" s="153"/>
      <c r="H371" s="151"/>
      <c r="I371" s="153"/>
      <c r="J371" s="151">
        <v>110</v>
      </c>
      <c r="K371" s="153">
        <v>100</v>
      </c>
      <c r="L371" s="151">
        <v>1700</v>
      </c>
      <c r="M371" s="153">
        <v>1700</v>
      </c>
      <c r="N371" s="151">
        <v>31</v>
      </c>
      <c r="O371" s="153">
        <v>30</v>
      </c>
      <c r="P371" s="151">
        <v>2100</v>
      </c>
      <c r="Q371" s="153">
        <v>1900</v>
      </c>
      <c r="R371" s="151"/>
      <c r="S371" s="153"/>
      <c r="T371" s="151"/>
      <c r="U371" s="153"/>
      <c r="V371" s="151"/>
      <c r="W371" s="153"/>
      <c r="X371" s="151"/>
      <c r="Y371" s="153"/>
      <c r="Z371" s="61">
        <f t="shared" si="64"/>
        <v>3941</v>
      </c>
      <c r="AA371" s="75">
        <f t="shared" si="65"/>
        <v>3730</v>
      </c>
      <c r="AB371" s="151">
        <v>15</v>
      </c>
      <c r="AC371" s="153">
        <v>15</v>
      </c>
      <c r="AD371" s="151">
        <v>550</v>
      </c>
      <c r="AE371" s="153">
        <v>500</v>
      </c>
      <c r="AF371" s="151">
        <v>200</v>
      </c>
      <c r="AG371" s="153">
        <v>200</v>
      </c>
      <c r="AH371" s="151"/>
      <c r="AI371" s="153"/>
      <c r="AJ371" s="151"/>
      <c r="AK371" s="153"/>
      <c r="AL371" s="151"/>
      <c r="AM371" s="153"/>
      <c r="AN371" s="151"/>
      <c r="AO371" s="153"/>
      <c r="AP371" s="61">
        <f t="shared" si="66"/>
        <v>4706</v>
      </c>
      <c r="AQ371" s="75">
        <f t="shared" si="67"/>
        <v>4445</v>
      </c>
      <c r="AR371" s="150" t="s">
        <v>74</v>
      </c>
    </row>
    <row r="372" spans="1:44" x14ac:dyDescent="0.25">
      <c r="A372" s="4" t="s">
        <v>249</v>
      </c>
      <c r="B372" s="4" t="s">
        <v>252</v>
      </c>
      <c r="C372" s="160" t="s">
        <v>73</v>
      </c>
      <c r="D372" s="151"/>
      <c r="E372" s="153"/>
      <c r="F372" s="151"/>
      <c r="G372" s="153"/>
      <c r="H372" s="151"/>
      <c r="I372" s="153"/>
      <c r="J372" s="151">
        <v>60</v>
      </c>
      <c r="K372" s="153">
        <v>60</v>
      </c>
      <c r="L372" s="151">
        <v>1450</v>
      </c>
      <c r="M372" s="153">
        <v>1100</v>
      </c>
      <c r="N372" s="151">
        <v>68</v>
      </c>
      <c r="O372" s="153">
        <v>70</v>
      </c>
      <c r="P372" s="151">
        <v>1800</v>
      </c>
      <c r="Q372" s="153">
        <v>1700</v>
      </c>
      <c r="R372" s="151"/>
      <c r="S372" s="153"/>
      <c r="T372" s="151"/>
      <c r="U372" s="153"/>
      <c r="V372" s="151"/>
      <c r="W372" s="153"/>
      <c r="X372" s="151"/>
      <c r="Y372" s="153"/>
      <c r="Z372" s="61">
        <f t="shared" si="64"/>
        <v>3378</v>
      </c>
      <c r="AA372" s="75">
        <f t="shared" si="65"/>
        <v>2930</v>
      </c>
      <c r="AB372" s="151"/>
      <c r="AC372" s="153"/>
      <c r="AD372" s="151">
        <v>400</v>
      </c>
      <c r="AE372" s="153">
        <v>400</v>
      </c>
      <c r="AF372" s="151">
        <v>500</v>
      </c>
      <c r="AG372" s="153">
        <v>500</v>
      </c>
      <c r="AH372" s="151"/>
      <c r="AI372" s="153"/>
      <c r="AJ372" s="151"/>
      <c r="AK372" s="153"/>
      <c r="AL372" s="151"/>
      <c r="AM372" s="153"/>
      <c r="AN372" s="151"/>
      <c r="AO372" s="153"/>
      <c r="AP372" s="61">
        <f t="shared" si="66"/>
        <v>4278</v>
      </c>
      <c r="AQ372" s="75">
        <f t="shared" si="67"/>
        <v>3830</v>
      </c>
      <c r="AR372" s="150" t="s">
        <v>74</v>
      </c>
    </row>
    <row r="373" spans="1:44" ht="26.25" x14ac:dyDescent="0.25">
      <c r="A373" s="4" t="s">
        <v>249</v>
      </c>
      <c r="B373" s="4" t="s">
        <v>253</v>
      </c>
      <c r="C373" s="6" t="s">
        <v>165</v>
      </c>
      <c r="D373" s="151"/>
      <c r="E373" s="153"/>
      <c r="F373" s="151"/>
      <c r="G373" s="153"/>
      <c r="H373" s="151"/>
      <c r="I373" s="153"/>
      <c r="J373" s="151"/>
      <c r="K373" s="153"/>
      <c r="L373" s="151"/>
      <c r="M373" s="153"/>
      <c r="N373" s="151"/>
      <c r="O373" s="153"/>
      <c r="P373" s="151"/>
      <c r="Q373" s="153"/>
      <c r="R373" s="151"/>
      <c r="S373" s="153"/>
      <c r="T373" s="151"/>
      <c r="U373" s="153"/>
      <c r="V373" s="151"/>
      <c r="W373" s="153"/>
      <c r="X373" s="151"/>
      <c r="Y373" s="153"/>
      <c r="Z373" s="61">
        <f t="shared" si="64"/>
        <v>0</v>
      </c>
      <c r="AA373" s="75">
        <f t="shared" si="65"/>
        <v>0</v>
      </c>
      <c r="AB373" s="151"/>
      <c r="AC373" s="153"/>
      <c r="AD373" s="151">
        <v>1500</v>
      </c>
      <c r="AE373" s="153">
        <v>1400</v>
      </c>
      <c r="AF373" s="151">
        <v>2500</v>
      </c>
      <c r="AG373" s="153">
        <v>2200</v>
      </c>
      <c r="AH373" s="151"/>
      <c r="AI373" s="153"/>
      <c r="AJ373" s="151"/>
      <c r="AK373" s="153"/>
      <c r="AL373" s="151"/>
      <c r="AM373" s="153"/>
      <c r="AN373" s="151"/>
      <c r="AO373" s="153"/>
      <c r="AP373" s="61">
        <f t="shared" si="66"/>
        <v>4000</v>
      </c>
      <c r="AQ373" s="75">
        <f t="shared" si="67"/>
        <v>3600</v>
      </c>
      <c r="AR373" s="150" t="s">
        <v>167</v>
      </c>
    </row>
    <row r="374" spans="1:44" ht="26.25" x14ac:dyDescent="0.25">
      <c r="A374" s="4" t="s">
        <v>249</v>
      </c>
      <c r="B374" s="4" t="s">
        <v>228</v>
      </c>
      <c r="C374" s="6" t="s">
        <v>165</v>
      </c>
      <c r="D374" s="151"/>
      <c r="E374" s="153"/>
      <c r="F374" s="151"/>
      <c r="G374" s="153"/>
      <c r="H374" s="151">
        <v>565</v>
      </c>
      <c r="I374" s="153">
        <v>565</v>
      </c>
      <c r="J374" s="151">
        <v>100</v>
      </c>
      <c r="K374" s="153">
        <v>100</v>
      </c>
      <c r="L374" s="151">
        <v>124</v>
      </c>
      <c r="M374" s="153">
        <v>120</v>
      </c>
      <c r="N374" s="151"/>
      <c r="O374" s="153"/>
      <c r="P374" s="151"/>
      <c r="Q374" s="153"/>
      <c r="R374" s="151"/>
      <c r="S374" s="153"/>
      <c r="T374" s="151"/>
      <c r="U374" s="153"/>
      <c r="V374" s="151"/>
      <c r="W374" s="153"/>
      <c r="X374" s="151"/>
      <c r="Y374" s="153"/>
      <c r="Z374" s="61">
        <f t="shared" si="64"/>
        <v>789</v>
      </c>
      <c r="AA374" s="75">
        <f t="shared" si="65"/>
        <v>785</v>
      </c>
      <c r="AB374" s="151"/>
      <c r="AC374" s="153"/>
      <c r="AD374" s="151">
        <v>1000</v>
      </c>
      <c r="AE374" s="153">
        <v>900</v>
      </c>
      <c r="AF374" s="151">
        <v>1500</v>
      </c>
      <c r="AG374" s="153">
        <v>1400</v>
      </c>
      <c r="AH374" s="151"/>
      <c r="AI374" s="153"/>
      <c r="AJ374" s="151"/>
      <c r="AK374" s="153"/>
      <c r="AL374" s="151"/>
      <c r="AM374" s="153"/>
      <c r="AN374" s="151"/>
      <c r="AO374" s="153"/>
      <c r="AP374" s="61">
        <f t="shared" si="66"/>
        <v>3289</v>
      </c>
      <c r="AQ374" s="75">
        <f t="shared" si="67"/>
        <v>3085</v>
      </c>
      <c r="AR374" s="150" t="s">
        <v>167</v>
      </c>
    </row>
    <row r="375" spans="1:44" ht="26.25" x14ac:dyDescent="0.25">
      <c r="A375" s="4" t="s">
        <v>249</v>
      </c>
      <c r="B375" s="4" t="s">
        <v>254</v>
      </c>
      <c r="C375" s="5" t="s">
        <v>70</v>
      </c>
      <c r="D375" s="151">
        <v>1698</v>
      </c>
      <c r="E375" s="153">
        <v>1780</v>
      </c>
      <c r="F375" s="151">
        <v>0</v>
      </c>
      <c r="G375" s="153"/>
      <c r="H375" s="151"/>
      <c r="I375" s="153"/>
      <c r="J375" s="151"/>
      <c r="K375" s="153"/>
      <c r="L375" s="151"/>
      <c r="M375" s="153"/>
      <c r="N375" s="151"/>
      <c r="O375" s="153"/>
      <c r="P375" s="151"/>
      <c r="Q375" s="153"/>
      <c r="R375" s="151"/>
      <c r="S375" s="153"/>
      <c r="T375" s="151"/>
      <c r="U375" s="153"/>
      <c r="V375" s="151"/>
      <c r="W375" s="153"/>
      <c r="X375" s="151"/>
      <c r="Y375" s="153"/>
      <c r="Z375" s="61">
        <f t="shared" si="64"/>
        <v>1698</v>
      </c>
      <c r="AA375" s="75">
        <f t="shared" si="65"/>
        <v>1780</v>
      </c>
      <c r="AB375" s="151"/>
      <c r="AC375" s="153"/>
      <c r="AD375" s="151"/>
      <c r="AE375" s="153"/>
      <c r="AF375" s="151">
        <v>1600</v>
      </c>
      <c r="AG375" s="153">
        <v>1200</v>
      </c>
      <c r="AH375" s="151"/>
      <c r="AI375" s="153"/>
      <c r="AJ375" s="151"/>
      <c r="AK375" s="153"/>
      <c r="AL375" s="151"/>
      <c r="AM375" s="153"/>
      <c r="AN375" s="151"/>
      <c r="AO375" s="153"/>
      <c r="AP375" s="61">
        <f t="shared" si="66"/>
        <v>3298</v>
      </c>
      <c r="AQ375" s="75">
        <f t="shared" si="67"/>
        <v>2980</v>
      </c>
      <c r="AR375" s="150" t="s">
        <v>71</v>
      </c>
    </row>
    <row r="376" spans="1:44" ht="26.25" x14ac:dyDescent="0.25">
      <c r="A376" s="4" t="s">
        <v>249</v>
      </c>
      <c r="B376" s="4" t="s">
        <v>255</v>
      </c>
      <c r="C376" s="5" t="s">
        <v>79</v>
      </c>
      <c r="D376" s="151">
        <v>8503</v>
      </c>
      <c r="E376" s="153">
        <v>8869</v>
      </c>
      <c r="F376" s="151">
        <v>230</v>
      </c>
      <c r="G376" s="153">
        <v>230</v>
      </c>
      <c r="H376" s="151"/>
      <c r="I376" s="153"/>
      <c r="J376" s="151">
        <v>105</v>
      </c>
      <c r="K376" s="153">
        <v>100</v>
      </c>
      <c r="L376" s="151">
        <v>1200</v>
      </c>
      <c r="M376" s="153">
        <v>1200</v>
      </c>
      <c r="N376" s="151"/>
      <c r="O376" s="153"/>
      <c r="P376" s="151">
        <v>3000</v>
      </c>
      <c r="Q376" s="153">
        <v>2700</v>
      </c>
      <c r="R376" s="151">
        <v>240</v>
      </c>
      <c r="S376" s="153">
        <v>240</v>
      </c>
      <c r="T376" s="151"/>
      <c r="U376" s="153"/>
      <c r="V376" s="151"/>
      <c r="W376" s="153"/>
      <c r="X376" s="151"/>
      <c r="Y376" s="153"/>
      <c r="Z376" s="61">
        <f t="shared" si="64"/>
        <v>13278</v>
      </c>
      <c r="AA376" s="75">
        <f t="shared" si="65"/>
        <v>13339</v>
      </c>
      <c r="AB376" s="151"/>
      <c r="AC376" s="153"/>
      <c r="AD376" s="151">
        <v>110</v>
      </c>
      <c r="AE376" s="153">
        <v>110</v>
      </c>
      <c r="AF376" s="151">
        <v>1600</v>
      </c>
      <c r="AG376" s="153">
        <v>1400</v>
      </c>
      <c r="AH376" s="151"/>
      <c r="AI376" s="153"/>
      <c r="AJ376" s="151"/>
      <c r="AK376" s="153"/>
      <c r="AL376" s="151"/>
      <c r="AM376" s="153"/>
      <c r="AN376" s="151"/>
      <c r="AO376" s="153"/>
      <c r="AP376" s="61">
        <f t="shared" si="66"/>
        <v>14988</v>
      </c>
      <c r="AQ376" s="75">
        <f t="shared" si="67"/>
        <v>14849</v>
      </c>
      <c r="AR376" s="150" t="s">
        <v>80</v>
      </c>
    </row>
    <row r="377" spans="1:44" x14ac:dyDescent="0.25">
      <c r="A377" s="4" t="s">
        <v>249</v>
      </c>
      <c r="B377" s="4" t="s">
        <v>256</v>
      </c>
      <c r="C377" s="5" t="s">
        <v>73</v>
      </c>
      <c r="D377" s="151">
        <v>6924</v>
      </c>
      <c r="E377" s="153">
        <v>7519</v>
      </c>
      <c r="F377" s="151">
        <v>45</v>
      </c>
      <c r="G377" s="153">
        <v>45</v>
      </c>
      <c r="H377" s="151"/>
      <c r="I377" s="153"/>
      <c r="J377" s="151">
        <v>45</v>
      </c>
      <c r="K377" s="153">
        <v>45</v>
      </c>
      <c r="L377" s="151">
        <v>230</v>
      </c>
      <c r="M377" s="153">
        <v>200</v>
      </c>
      <c r="N377" s="151">
        <v>4</v>
      </c>
      <c r="O377" s="153">
        <v>30</v>
      </c>
      <c r="P377" s="151">
        <v>350</v>
      </c>
      <c r="Q377" s="153">
        <v>150</v>
      </c>
      <c r="R377" s="151">
        <v>50</v>
      </c>
      <c r="S377" s="153">
        <v>20</v>
      </c>
      <c r="T377" s="151"/>
      <c r="U377" s="153"/>
      <c r="V377" s="151"/>
      <c r="W377" s="153"/>
      <c r="X377" s="151"/>
      <c r="Y377" s="153"/>
      <c r="Z377" s="61">
        <f t="shared" si="64"/>
        <v>7648</v>
      </c>
      <c r="AA377" s="75">
        <f t="shared" si="65"/>
        <v>8009</v>
      </c>
      <c r="AB377" s="151">
        <v>20</v>
      </c>
      <c r="AC377" s="153">
        <v>20</v>
      </c>
      <c r="AD377" s="151">
        <v>1900</v>
      </c>
      <c r="AE377" s="153">
        <v>1800</v>
      </c>
      <c r="AF377" s="151">
        <v>2000</v>
      </c>
      <c r="AG377" s="153">
        <v>2000</v>
      </c>
      <c r="AH377" s="151">
        <v>1197</v>
      </c>
      <c r="AI377" s="153">
        <v>1151</v>
      </c>
      <c r="AJ377" s="151"/>
      <c r="AK377" s="153"/>
      <c r="AL377" s="151"/>
      <c r="AM377" s="153"/>
      <c r="AN377" s="151"/>
      <c r="AO377" s="153"/>
      <c r="AP377" s="61">
        <f t="shared" si="66"/>
        <v>12765</v>
      </c>
      <c r="AQ377" s="75">
        <f t="shared" si="67"/>
        <v>12980</v>
      </c>
      <c r="AR377" s="150" t="s">
        <v>74</v>
      </c>
    </row>
    <row r="378" spans="1:44" x14ac:dyDescent="0.25">
      <c r="A378" s="4" t="s">
        <v>249</v>
      </c>
      <c r="B378" s="4" t="s">
        <v>257</v>
      </c>
      <c r="C378" s="5" t="s">
        <v>73</v>
      </c>
      <c r="D378" s="151">
        <v>7728</v>
      </c>
      <c r="E378" s="153">
        <v>8379</v>
      </c>
      <c r="F378" s="151">
        <v>10</v>
      </c>
      <c r="G378" s="153">
        <v>10</v>
      </c>
      <c r="H378" s="151"/>
      <c r="I378" s="153"/>
      <c r="J378" s="151">
        <v>40</v>
      </c>
      <c r="K378" s="153">
        <v>40</v>
      </c>
      <c r="L378" s="151">
        <v>190</v>
      </c>
      <c r="M378" s="153">
        <v>150</v>
      </c>
      <c r="N378" s="151"/>
      <c r="O378" s="153">
        <v>30</v>
      </c>
      <c r="P378" s="151">
        <v>250</v>
      </c>
      <c r="Q378" s="153">
        <v>250</v>
      </c>
      <c r="R378" s="151">
        <v>20</v>
      </c>
      <c r="S378" s="153">
        <v>20</v>
      </c>
      <c r="T378" s="151"/>
      <c r="U378" s="153"/>
      <c r="V378" s="151"/>
      <c r="W378" s="153"/>
      <c r="X378" s="151"/>
      <c r="Y378" s="153"/>
      <c r="Z378" s="61">
        <f t="shared" si="64"/>
        <v>8238</v>
      </c>
      <c r="AA378" s="75">
        <f t="shared" si="65"/>
        <v>8879</v>
      </c>
      <c r="AB378" s="151"/>
      <c r="AC378" s="153"/>
      <c r="AD378" s="151">
        <v>430</v>
      </c>
      <c r="AE378" s="153">
        <v>390</v>
      </c>
      <c r="AF378" s="151">
        <v>1200</v>
      </c>
      <c r="AG378" s="153">
        <v>1200</v>
      </c>
      <c r="AH378" s="151">
        <v>1500</v>
      </c>
      <c r="AI378" s="153">
        <v>1450</v>
      </c>
      <c r="AJ378" s="151"/>
      <c r="AK378" s="153"/>
      <c r="AL378" s="151"/>
      <c r="AM378" s="153"/>
      <c r="AN378" s="151"/>
      <c r="AO378" s="153"/>
      <c r="AP378" s="61">
        <f t="shared" si="66"/>
        <v>11368</v>
      </c>
      <c r="AQ378" s="75">
        <f t="shared" si="67"/>
        <v>11919</v>
      </c>
      <c r="AR378" s="150" t="s">
        <v>74</v>
      </c>
    </row>
    <row r="379" spans="1:44" ht="26.25" x14ac:dyDescent="0.25">
      <c r="A379" s="4" t="s">
        <v>249</v>
      </c>
      <c r="B379" s="4" t="s">
        <v>258</v>
      </c>
      <c r="C379" s="5" t="s">
        <v>73</v>
      </c>
      <c r="D379" s="151">
        <v>36780</v>
      </c>
      <c r="E379" s="153">
        <v>37062</v>
      </c>
      <c r="F379" s="151">
        <v>340</v>
      </c>
      <c r="G379" s="153">
        <v>600</v>
      </c>
      <c r="H379" s="151"/>
      <c r="I379" s="153"/>
      <c r="J379" s="151">
        <v>650</v>
      </c>
      <c r="K379" s="153">
        <v>650</v>
      </c>
      <c r="L379" s="151">
        <v>2800</v>
      </c>
      <c r="M379" s="153">
        <v>2800</v>
      </c>
      <c r="N379" s="151">
        <v>280</v>
      </c>
      <c r="O379" s="153">
        <v>280</v>
      </c>
      <c r="P379" s="151">
        <v>6500</v>
      </c>
      <c r="Q379" s="153">
        <v>6100</v>
      </c>
      <c r="R379" s="151">
        <v>2000</v>
      </c>
      <c r="S379" s="153">
        <v>2000</v>
      </c>
      <c r="T379" s="151"/>
      <c r="U379" s="153"/>
      <c r="V379" s="151"/>
      <c r="W379" s="153"/>
      <c r="X379" s="151"/>
      <c r="Y379" s="153"/>
      <c r="Z379" s="61">
        <f t="shared" si="64"/>
        <v>49350</v>
      </c>
      <c r="AA379" s="75">
        <f t="shared" si="65"/>
        <v>49492</v>
      </c>
      <c r="AB379" s="151">
        <v>70</v>
      </c>
      <c r="AC379" s="153">
        <v>70</v>
      </c>
      <c r="AD379" s="151">
        <v>10410</v>
      </c>
      <c r="AE379" s="153">
        <v>8800</v>
      </c>
      <c r="AF379" s="151">
        <v>4000</v>
      </c>
      <c r="AG379" s="153">
        <v>3000</v>
      </c>
      <c r="AH379" s="151"/>
      <c r="AI379" s="153"/>
      <c r="AJ379" s="151"/>
      <c r="AK379" s="153"/>
      <c r="AL379" s="151"/>
      <c r="AM379" s="153"/>
      <c r="AN379" s="151"/>
      <c r="AO379" s="153"/>
      <c r="AP379" s="61">
        <f t="shared" si="66"/>
        <v>63830</v>
      </c>
      <c r="AQ379" s="75">
        <f t="shared" si="67"/>
        <v>61362</v>
      </c>
      <c r="AR379" s="150" t="s">
        <v>74</v>
      </c>
    </row>
    <row r="380" spans="1:44" x14ac:dyDescent="0.25">
      <c r="A380" s="4" t="s">
        <v>249</v>
      </c>
      <c r="B380" s="4" t="s">
        <v>259</v>
      </c>
      <c r="C380" s="5" t="s">
        <v>73</v>
      </c>
      <c r="D380" s="151"/>
      <c r="E380" s="153"/>
      <c r="F380" s="151"/>
      <c r="G380" s="153"/>
      <c r="H380" s="151"/>
      <c r="I380" s="153"/>
      <c r="J380" s="151"/>
      <c r="K380" s="153"/>
      <c r="L380" s="151"/>
      <c r="M380" s="153"/>
      <c r="N380" s="151"/>
      <c r="O380" s="153"/>
      <c r="P380" s="151"/>
      <c r="Q380" s="153"/>
      <c r="R380" s="151"/>
      <c r="S380" s="153"/>
      <c r="T380" s="151"/>
      <c r="U380" s="153"/>
      <c r="V380" s="151"/>
      <c r="W380" s="153"/>
      <c r="X380" s="151"/>
      <c r="Y380" s="153"/>
      <c r="Z380" s="61">
        <f t="shared" si="64"/>
        <v>0</v>
      </c>
      <c r="AA380" s="75">
        <f t="shared" si="65"/>
        <v>0</v>
      </c>
      <c r="AB380" s="151"/>
      <c r="AC380" s="153"/>
      <c r="AD380" s="151">
        <v>5070</v>
      </c>
      <c r="AE380" s="153">
        <v>4000</v>
      </c>
      <c r="AF380" s="151"/>
      <c r="AG380" s="153"/>
      <c r="AH380" s="151"/>
      <c r="AI380" s="153"/>
      <c r="AJ380" s="151"/>
      <c r="AK380" s="153"/>
      <c r="AL380" s="151"/>
      <c r="AM380" s="153"/>
      <c r="AN380" s="151"/>
      <c r="AO380" s="153"/>
      <c r="AP380" s="61">
        <f t="shared" si="66"/>
        <v>5070</v>
      </c>
      <c r="AQ380" s="75">
        <f t="shared" si="67"/>
        <v>4000</v>
      </c>
      <c r="AR380" s="150" t="s">
        <v>74</v>
      </c>
    </row>
    <row r="381" spans="1:44" x14ac:dyDescent="0.25">
      <c r="A381" s="4" t="s">
        <v>249</v>
      </c>
      <c r="B381" s="4" t="s">
        <v>97</v>
      </c>
      <c r="C381" s="5" t="s">
        <v>96</v>
      </c>
      <c r="D381" s="151"/>
      <c r="E381" s="153"/>
      <c r="F381" s="151"/>
      <c r="G381" s="153"/>
      <c r="H381" s="151"/>
      <c r="I381" s="153"/>
      <c r="J381" s="151"/>
      <c r="K381" s="153"/>
      <c r="L381" s="151"/>
      <c r="M381" s="153"/>
      <c r="N381" s="151"/>
      <c r="O381" s="153"/>
      <c r="P381" s="151"/>
      <c r="Q381" s="153"/>
      <c r="R381" s="151">
        <v>6200</v>
      </c>
      <c r="S381" s="153">
        <v>5000</v>
      </c>
      <c r="T381" s="151"/>
      <c r="U381" s="153"/>
      <c r="V381" s="151">
        <v>10000</v>
      </c>
      <c r="W381" s="153">
        <v>10000</v>
      </c>
      <c r="X381" s="151"/>
      <c r="Y381" s="153"/>
      <c r="Z381" s="61">
        <f t="shared" si="64"/>
        <v>16200</v>
      </c>
      <c r="AA381" s="75">
        <f t="shared" si="65"/>
        <v>15000</v>
      </c>
      <c r="AB381" s="151"/>
      <c r="AC381" s="153"/>
      <c r="AD381" s="151"/>
      <c r="AE381" s="153"/>
      <c r="AF381" s="151"/>
      <c r="AG381" s="153"/>
      <c r="AH381" s="151"/>
      <c r="AI381" s="153"/>
      <c r="AJ381" s="151"/>
      <c r="AK381" s="153"/>
      <c r="AL381" s="151"/>
      <c r="AM381" s="153"/>
      <c r="AN381" s="151"/>
      <c r="AO381" s="153"/>
      <c r="AP381" s="61">
        <f t="shared" si="66"/>
        <v>16200</v>
      </c>
      <c r="AQ381" s="75">
        <f t="shared" si="67"/>
        <v>15000</v>
      </c>
      <c r="AR381" s="150" t="s">
        <v>74</v>
      </c>
    </row>
    <row r="382" spans="1:44" ht="30" x14ac:dyDescent="0.25">
      <c r="A382" s="4" t="s">
        <v>249</v>
      </c>
      <c r="B382" s="4" t="s">
        <v>260</v>
      </c>
      <c r="C382" s="5" t="s">
        <v>104</v>
      </c>
      <c r="D382" s="151"/>
      <c r="E382" s="153"/>
      <c r="F382" s="151">
        <v>50</v>
      </c>
      <c r="G382" s="153">
        <v>50</v>
      </c>
      <c r="H382" s="151"/>
      <c r="I382" s="153"/>
      <c r="J382" s="151"/>
      <c r="K382" s="153"/>
      <c r="L382" s="151"/>
      <c r="M382" s="153"/>
      <c r="N382" s="151"/>
      <c r="O382" s="153"/>
      <c r="P382" s="151"/>
      <c r="Q382" s="153"/>
      <c r="R382" s="151">
        <v>1330</v>
      </c>
      <c r="S382" s="153">
        <v>1000</v>
      </c>
      <c r="T382" s="151"/>
      <c r="U382" s="153"/>
      <c r="V382" s="151"/>
      <c r="W382" s="153"/>
      <c r="X382" s="151"/>
      <c r="Y382" s="153"/>
      <c r="Z382" s="61">
        <f t="shared" si="64"/>
        <v>1380</v>
      </c>
      <c r="AA382" s="75">
        <f t="shared" si="65"/>
        <v>1050</v>
      </c>
      <c r="AB382" s="151"/>
      <c r="AC382" s="153"/>
      <c r="AD382" s="151">
        <v>500</v>
      </c>
      <c r="AE382" s="153">
        <v>500</v>
      </c>
      <c r="AF382" s="151">
        <v>300</v>
      </c>
      <c r="AG382" s="153">
        <v>300</v>
      </c>
      <c r="AH382" s="151"/>
      <c r="AI382" s="153"/>
      <c r="AJ382" s="151"/>
      <c r="AK382" s="153"/>
      <c r="AL382" s="151"/>
      <c r="AM382" s="153"/>
      <c r="AN382" s="151"/>
      <c r="AO382" s="153"/>
      <c r="AP382" s="61">
        <f t="shared" si="66"/>
        <v>2180</v>
      </c>
      <c r="AQ382" s="75">
        <f t="shared" si="67"/>
        <v>1850</v>
      </c>
      <c r="AR382" s="150" t="s">
        <v>102</v>
      </c>
    </row>
    <row r="383" spans="1:44" ht="30" x14ac:dyDescent="0.25">
      <c r="A383" s="4" t="s">
        <v>249</v>
      </c>
      <c r="B383" s="4" t="s">
        <v>100</v>
      </c>
      <c r="C383" s="5" t="s">
        <v>101</v>
      </c>
      <c r="D383" s="151"/>
      <c r="E383" s="153"/>
      <c r="F383" s="151"/>
      <c r="G383" s="153"/>
      <c r="H383" s="151"/>
      <c r="I383" s="153"/>
      <c r="J383" s="151"/>
      <c r="K383" s="153"/>
      <c r="L383" s="151"/>
      <c r="M383" s="153"/>
      <c r="N383" s="151"/>
      <c r="O383" s="153"/>
      <c r="P383" s="151"/>
      <c r="Q383" s="153"/>
      <c r="R383" s="151"/>
      <c r="S383" s="153"/>
      <c r="T383" s="151"/>
      <c r="U383" s="153"/>
      <c r="V383" s="151"/>
      <c r="W383" s="153"/>
      <c r="X383" s="151"/>
      <c r="Y383" s="153"/>
      <c r="Z383" s="61">
        <f t="shared" si="64"/>
        <v>0</v>
      </c>
      <c r="AA383" s="75">
        <f t="shared" si="65"/>
        <v>0</v>
      </c>
      <c r="AB383" s="151"/>
      <c r="AC383" s="153"/>
      <c r="AD383" s="151"/>
      <c r="AE383" s="153"/>
      <c r="AF383" s="151"/>
      <c r="AG383" s="153"/>
      <c r="AH383" s="151"/>
      <c r="AI383" s="153"/>
      <c r="AJ383" s="151"/>
      <c r="AK383" s="153"/>
      <c r="AL383" s="151">
        <v>14436</v>
      </c>
      <c r="AM383" s="153">
        <v>14430</v>
      </c>
      <c r="AN383" s="151"/>
      <c r="AO383" s="153"/>
      <c r="AP383" s="61">
        <f t="shared" si="66"/>
        <v>14436</v>
      </c>
      <c r="AQ383" s="75">
        <f t="shared" si="67"/>
        <v>14430</v>
      </c>
      <c r="AR383" s="150" t="s">
        <v>102</v>
      </c>
    </row>
    <row r="384" spans="1:44" x14ac:dyDescent="0.25">
      <c r="A384" s="4" t="s">
        <v>249</v>
      </c>
      <c r="B384" s="4" t="s">
        <v>261</v>
      </c>
      <c r="C384" s="5" t="s">
        <v>73</v>
      </c>
      <c r="D384" s="151"/>
      <c r="E384" s="153"/>
      <c r="F384" s="151"/>
      <c r="G384" s="153"/>
      <c r="H384" s="151"/>
      <c r="I384" s="153"/>
      <c r="J384" s="151"/>
      <c r="K384" s="153"/>
      <c r="L384" s="151"/>
      <c r="M384" s="153"/>
      <c r="N384" s="151"/>
      <c r="O384" s="153"/>
      <c r="P384" s="151"/>
      <c r="Q384" s="153"/>
      <c r="R384" s="151"/>
      <c r="S384" s="153"/>
      <c r="T384" s="151"/>
      <c r="U384" s="153"/>
      <c r="V384" s="151"/>
      <c r="W384" s="153"/>
      <c r="X384" s="151"/>
      <c r="Y384" s="153"/>
      <c r="Z384" s="61">
        <f t="shared" si="64"/>
        <v>0</v>
      </c>
      <c r="AA384" s="75">
        <f t="shared" si="65"/>
        <v>0</v>
      </c>
      <c r="AB384" s="151"/>
      <c r="AC384" s="153"/>
      <c r="AD384" s="151">
        <v>2300</v>
      </c>
      <c r="AE384" s="153">
        <v>2500</v>
      </c>
      <c r="AF384" s="151"/>
      <c r="AG384" s="153"/>
      <c r="AH384" s="151"/>
      <c r="AI384" s="153"/>
      <c r="AJ384" s="151"/>
      <c r="AK384" s="153"/>
      <c r="AL384" s="151"/>
      <c r="AM384" s="153"/>
      <c r="AN384" s="151"/>
      <c r="AO384" s="153"/>
      <c r="AP384" s="61">
        <f t="shared" si="66"/>
        <v>2300</v>
      </c>
      <c r="AQ384" s="75">
        <f t="shared" si="67"/>
        <v>2500</v>
      </c>
      <c r="AR384" s="150" t="s">
        <v>58</v>
      </c>
    </row>
    <row r="385" spans="1:44" x14ac:dyDescent="0.25">
      <c r="A385" s="4" t="s">
        <v>249</v>
      </c>
      <c r="B385" s="4" t="s">
        <v>262</v>
      </c>
      <c r="C385" s="5" t="s">
        <v>60</v>
      </c>
      <c r="D385" s="151"/>
      <c r="E385" s="153"/>
      <c r="F385" s="151"/>
      <c r="G385" s="153"/>
      <c r="H385" s="151"/>
      <c r="I385" s="153"/>
      <c r="J385" s="151"/>
      <c r="K385" s="153"/>
      <c r="L385" s="151"/>
      <c r="M385" s="153"/>
      <c r="N385" s="151"/>
      <c r="O385" s="153"/>
      <c r="P385" s="151"/>
      <c r="Q385" s="153"/>
      <c r="R385" s="151"/>
      <c r="S385" s="153"/>
      <c r="T385" s="151"/>
      <c r="U385" s="153"/>
      <c r="V385" s="151"/>
      <c r="W385" s="153"/>
      <c r="X385" s="151"/>
      <c r="Y385" s="153"/>
      <c r="Z385" s="61">
        <f t="shared" si="64"/>
        <v>0</v>
      </c>
      <c r="AA385" s="75">
        <f t="shared" si="65"/>
        <v>0</v>
      </c>
      <c r="AB385" s="151"/>
      <c r="AC385" s="153"/>
      <c r="AD385" s="151">
        <v>300</v>
      </c>
      <c r="AE385" s="153"/>
      <c r="AF385" s="151"/>
      <c r="AG385" s="153"/>
      <c r="AH385" s="151"/>
      <c r="AI385" s="153"/>
      <c r="AJ385" s="151"/>
      <c r="AK385" s="153"/>
      <c r="AL385" s="151"/>
      <c r="AM385" s="153"/>
      <c r="AN385" s="151"/>
      <c r="AO385" s="153"/>
      <c r="AP385" s="61">
        <f t="shared" si="66"/>
        <v>300</v>
      </c>
      <c r="AQ385" s="75">
        <f t="shared" si="67"/>
        <v>0</v>
      </c>
      <c r="AR385" s="150" t="s">
        <v>167</v>
      </c>
    </row>
    <row r="386" spans="1:44" ht="26.25" x14ac:dyDescent="0.25">
      <c r="A386" s="4" t="s">
        <v>249</v>
      </c>
      <c r="B386" s="4" t="s">
        <v>62</v>
      </c>
      <c r="C386" s="5" t="s">
        <v>60</v>
      </c>
      <c r="D386" s="151"/>
      <c r="E386" s="153"/>
      <c r="F386" s="151">
        <v>200</v>
      </c>
      <c r="G386" s="153">
        <v>200</v>
      </c>
      <c r="H386" s="151"/>
      <c r="I386" s="153"/>
      <c r="J386" s="151"/>
      <c r="K386" s="153"/>
      <c r="L386" s="151">
        <v>1850</v>
      </c>
      <c r="M386" s="153"/>
      <c r="N386" s="151"/>
      <c r="O386" s="153"/>
      <c r="P386" s="151"/>
      <c r="Q386" s="153"/>
      <c r="R386" s="151"/>
      <c r="S386" s="153"/>
      <c r="T386" s="151"/>
      <c r="U386" s="153"/>
      <c r="V386" s="151"/>
      <c r="W386" s="153"/>
      <c r="X386" s="151"/>
      <c r="Y386" s="153"/>
      <c r="Z386" s="61">
        <f t="shared" si="64"/>
        <v>2050</v>
      </c>
      <c r="AA386" s="75">
        <f t="shared" si="65"/>
        <v>200</v>
      </c>
      <c r="AB386" s="151"/>
      <c r="AC386" s="153"/>
      <c r="AD386" s="151">
        <v>15366</v>
      </c>
      <c r="AE386" s="153">
        <f>21545-AG386-G386</f>
        <v>14800</v>
      </c>
      <c r="AF386" s="151">
        <v>3500</v>
      </c>
      <c r="AG386" s="153">
        <v>6545</v>
      </c>
      <c r="AH386" s="151"/>
      <c r="AI386" s="153"/>
      <c r="AJ386" s="151"/>
      <c r="AK386" s="153"/>
      <c r="AL386" s="151"/>
      <c r="AM386" s="153"/>
      <c r="AN386" s="151"/>
      <c r="AO386" s="153"/>
      <c r="AP386" s="61">
        <f t="shared" si="66"/>
        <v>20916</v>
      </c>
      <c r="AQ386" s="75">
        <f t="shared" si="67"/>
        <v>21545</v>
      </c>
      <c r="AR386" s="150" t="s">
        <v>171</v>
      </c>
    </row>
    <row r="387" spans="1:44" x14ac:dyDescent="0.25">
      <c r="A387" s="4" t="s">
        <v>249</v>
      </c>
      <c r="B387" s="4" t="s">
        <v>64</v>
      </c>
      <c r="C387" s="5" t="s">
        <v>60</v>
      </c>
      <c r="D387" s="151"/>
      <c r="E387" s="153"/>
      <c r="F387" s="151"/>
      <c r="G387" s="153"/>
      <c r="H387" s="151"/>
      <c r="I387" s="153"/>
      <c r="J387" s="151"/>
      <c r="K387" s="153"/>
      <c r="L387" s="151"/>
      <c r="M387" s="153"/>
      <c r="N387" s="151"/>
      <c r="O387" s="153"/>
      <c r="P387" s="151"/>
      <c r="Q387" s="153"/>
      <c r="R387" s="151"/>
      <c r="S387" s="153"/>
      <c r="T387" s="151"/>
      <c r="U387" s="153"/>
      <c r="V387" s="151"/>
      <c r="W387" s="153"/>
      <c r="X387" s="151"/>
      <c r="Y387" s="153"/>
      <c r="Z387" s="61">
        <f t="shared" si="64"/>
        <v>0</v>
      </c>
      <c r="AA387" s="75">
        <f t="shared" si="65"/>
        <v>0</v>
      </c>
      <c r="AB387" s="151"/>
      <c r="AC387" s="153"/>
      <c r="AD387" s="151">
        <v>33481</v>
      </c>
      <c r="AE387" s="153">
        <f>33198-AG387</f>
        <v>20000</v>
      </c>
      <c r="AF387" s="151"/>
      <c r="AG387" s="153">
        <v>13198</v>
      </c>
      <c r="AH387" s="151"/>
      <c r="AI387" s="153"/>
      <c r="AJ387" s="151"/>
      <c r="AK387" s="153"/>
      <c r="AL387" s="151"/>
      <c r="AM387" s="153"/>
      <c r="AN387" s="151"/>
      <c r="AO387" s="153"/>
      <c r="AP387" s="61">
        <f t="shared" si="66"/>
        <v>33481</v>
      </c>
      <c r="AQ387" s="75">
        <f t="shared" si="67"/>
        <v>33198</v>
      </c>
      <c r="AR387" s="150" t="s">
        <v>171</v>
      </c>
    </row>
    <row r="388" spans="1:44" x14ac:dyDescent="0.25">
      <c r="A388" s="4" t="s">
        <v>249</v>
      </c>
      <c r="B388" s="4" t="s">
        <v>105</v>
      </c>
      <c r="C388" s="5"/>
      <c r="D388" s="151">
        <v>3458</v>
      </c>
      <c r="E388" s="153">
        <v>3776</v>
      </c>
      <c r="F388" s="151"/>
      <c r="G388" s="153"/>
      <c r="H388" s="151"/>
      <c r="I388" s="153"/>
      <c r="J388" s="151"/>
      <c r="K388" s="153"/>
      <c r="L388" s="151"/>
      <c r="M388" s="153"/>
      <c r="N388" s="151"/>
      <c r="O388" s="153"/>
      <c r="P388" s="151"/>
      <c r="Q388" s="153"/>
      <c r="R388" s="151"/>
      <c r="S388" s="153"/>
      <c r="T388" s="151"/>
      <c r="U388" s="153"/>
      <c r="V388" s="151"/>
      <c r="W388" s="153"/>
      <c r="X388" s="151"/>
      <c r="Y388" s="153"/>
      <c r="Z388" s="61">
        <f t="shared" si="64"/>
        <v>3458</v>
      </c>
      <c r="AA388" s="75">
        <f t="shared" si="65"/>
        <v>3776</v>
      </c>
      <c r="AB388" s="151"/>
      <c r="AC388" s="153"/>
      <c r="AD388" s="151"/>
      <c r="AE388" s="153"/>
      <c r="AF388" s="151"/>
      <c r="AG388" s="153"/>
      <c r="AH388" s="151"/>
      <c r="AI388" s="153"/>
      <c r="AJ388" s="151"/>
      <c r="AK388" s="153"/>
      <c r="AL388" s="151"/>
      <c r="AM388" s="153"/>
      <c r="AN388" s="151"/>
      <c r="AO388" s="153"/>
      <c r="AP388" s="61">
        <f t="shared" si="66"/>
        <v>3458</v>
      </c>
      <c r="AQ388" s="75">
        <f t="shared" si="67"/>
        <v>3776</v>
      </c>
      <c r="AR388" s="150" t="s">
        <v>58</v>
      </c>
    </row>
    <row r="389" spans="1:44" x14ac:dyDescent="0.25">
      <c r="A389" s="4" t="s">
        <v>249</v>
      </c>
      <c r="B389" s="4" t="s">
        <v>106</v>
      </c>
      <c r="C389" s="5"/>
      <c r="D389" s="151">
        <v>3600</v>
      </c>
      <c r="E389" s="153">
        <v>3933</v>
      </c>
      <c r="F389" s="151"/>
      <c r="G389" s="153"/>
      <c r="H389" s="151"/>
      <c r="I389" s="153"/>
      <c r="J389" s="151"/>
      <c r="K389" s="153"/>
      <c r="L389" s="151"/>
      <c r="M389" s="153"/>
      <c r="N389" s="151"/>
      <c r="O389" s="153"/>
      <c r="P389" s="151"/>
      <c r="Q389" s="153"/>
      <c r="R389" s="151"/>
      <c r="S389" s="153"/>
      <c r="T389" s="151"/>
      <c r="U389" s="153"/>
      <c r="V389" s="151"/>
      <c r="W389" s="153"/>
      <c r="X389" s="151"/>
      <c r="Y389" s="153"/>
      <c r="Z389" s="61">
        <f t="shared" si="64"/>
        <v>3600</v>
      </c>
      <c r="AA389" s="75">
        <f t="shared" si="65"/>
        <v>3933</v>
      </c>
      <c r="AB389" s="151"/>
      <c r="AC389" s="153"/>
      <c r="AD389" s="151"/>
      <c r="AE389" s="153"/>
      <c r="AF389" s="151"/>
      <c r="AG389" s="153"/>
      <c r="AH389" s="151"/>
      <c r="AI389" s="153"/>
      <c r="AJ389" s="151"/>
      <c r="AK389" s="153"/>
      <c r="AL389" s="151"/>
      <c r="AM389" s="153"/>
      <c r="AN389" s="151"/>
      <c r="AO389" s="153"/>
      <c r="AP389" s="61">
        <f t="shared" si="66"/>
        <v>3600</v>
      </c>
      <c r="AQ389" s="75">
        <f t="shared" si="67"/>
        <v>3933</v>
      </c>
      <c r="AR389" s="150" t="s">
        <v>58</v>
      </c>
    </row>
    <row r="390" spans="1:44" x14ac:dyDescent="0.25">
      <c r="A390" s="16" t="s">
        <v>263</v>
      </c>
      <c r="B390" s="16" t="s">
        <v>108</v>
      </c>
      <c r="C390" s="17"/>
      <c r="D390" s="18">
        <f t="shared" ref="D390:AQ390" si="68">SUM(D368:D389)</f>
        <v>184139</v>
      </c>
      <c r="E390" s="105">
        <f t="shared" si="68"/>
        <v>196490</v>
      </c>
      <c r="F390" s="18">
        <f t="shared" si="68"/>
        <v>5425</v>
      </c>
      <c r="G390" s="18">
        <f t="shared" si="68"/>
        <v>2535</v>
      </c>
      <c r="H390" s="18">
        <f t="shared" si="68"/>
        <v>565</v>
      </c>
      <c r="I390" s="18">
        <f t="shared" si="68"/>
        <v>565</v>
      </c>
      <c r="J390" s="18">
        <f t="shared" si="68"/>
        <v>2010</v>
      </c>
      <c r="K390" s="18">
        <f t="shared" si="68"/>
        <v>1995</v>
      </c>
      <c r="L390" s="18">
        <f t="shared" si="68"/>
        <v>14594</v>
      </c>
      <c r="M390" s="18">
        <f t="shared" si="68"/>
        <v>12270</v>
      </c>
      <c r="N390" s="18">
        <f t="shared" si="68"/>
        <v>1643</v>
      </c>
      <c r="O390" s="18">
        <f t="shared" si="68"/>
        <v>1690</v>
      </c>
      <c r="P390" s="18">
        <f t="shared" si="68"/>
        <v>16300</v>
      </c>
      <c r="Q390" s="18">
        <f t="shared" si="68"/>
        <v>14800</v>
      </c>
      <c r="R390" s="18">
        <f t="shared" si="68"/>
        <v>20180</v>
      </c>
      <c r="S390" s="18">
        <f t="shared" si="68"/>
        <v>20020</v>
      </c>
      <c r="T390" s="18">
        <f t="shared" si="68"/>
        <v>0</v>
      </c>
      <c r="U390" s="18">
        <f t="shared" si="68"/>
        <v>0</v>
      </c>
      <c r="V390" s="18">
        <f t="shared" si="68"/>
        <v>10000</v>
      </c>
      <c r="W390" s="18">
        <f t="shared" si="68"/>
        <v>10000</v>
      </c>
      <c r="X390" s="18">
        <f t="shared" si="68"/>
        <v>0</v>
      </c>
      <c r="Y390" s="18">
        <f t="shared" si="68"/>
        <v>0</v>
      </c>
      <c r="Z390" s="18">
        <f t="shared" si="68"/>
        <v>254856</v>
      </c>
      <c r="AA390" s="18">
        <f t="shared" si="68"/>
        <v>260365</v>
      </c>
      <c r="AB390" s="18">
        <f t="shared" si="68"/>
        <v>165</v>
      </c>
      <c r="AC390" s="18">
        <f t="shared" si="68"/>
        <v>165</v>
      </c>
      <c r="AD390" s="18">
        <f t="shared" si="68"/>
        <v>98167</v>
      </c>
      <c r="AE390" s="18">
        <f t="shared" si="68"/>
        <v>75950</v>
      </c>
      <c r="AF390" s="18">
        <f t="shared" si="68"/>
        <v>47050</v>
      </c>
      <c r="AG390" s="18">
        <f t="shared" si="68"/>
        <v>55243</v>
      </c>
      <c r="AH390" s="18">
        <f t="shared" si="68"/>
        <v>2697</v>
      </c>
      <c r="AI390" s="18">
        <f t="shared" si="68"/>
        <v>2601</v>
      </c>
      <c r="AJ390" s="18">
        <f t="shared" si="68"/>
        <v>0</v>
      </c>
      <c r="AK390" s="18">
        <f t="shared" si="68"/>
        <v>0</v>
      </c>
      <c r="AL390" s="18">
        <f t="shared" si="68"/>
        <v>14436</v>
      </c>
      <c r="AM390" s="18">
        <f t="shared" si="68"/>
        <v>14430</v>
      </c>
      <c r="AN390" s="18">
        <f t="shared" si="68"/>
        <v>0</v>
      </c>
      <c r="AO390" s="18">
        <f t="shared" si="68"/>
        <v>0</v>
      </c>
      <c r="AP390" s="18">
        <f t="shared" si="68"/>
        <v>417371</v>
      </c>
      <c r="AQ390" s="18">
        <f t="shared" si="68"/>
        <v>408754</v>
      </c>
      <c r="AR390" s="150"/>
    </row>
    <row r="391" spans="1:44" x14ac:dyDescent="0.25">
      <c r="A391" s="4" t="s">
        <v>264</v>
      </c>
      <c r="B391" s="4" t="s">
        <v>125</v>
      </c>
      <c r="C391" s="5" t="s">
        <v>57</v>
      </c>
      <c r="D391" s="151">
        <v>27966</v>
      </c>
      <c r="E391" s="153">
        <v>24056</v>
      </c>
      <c r="F391" s="151">
        <v>1274</v>
      </c>
      <c r="G391" s="153">
        <v>1274</v>
      </c>
      <c r="H391" s="151">
        <v>1864</v>
      </c>
      <c r="I391" s="153">
        <v>1864</v>
      </c>
      <c r="J391" s="151"/>
      <c r="K391" s="153"/>
      <c r="L391" s="151">
        <v>1012</v>
      </c>
      <c r="M391" s="153">
        <v>1012</v>
      </c>
      <c r="N391" s="151"/>
      <c r="O391" s="153"/>
      <c r="P391" s="151"/>
      <c r="Q391" s="153"/>
      <c r="R391" s="151">
        <v>1440</v>
      </c>
      <c r="S391" s="153">
        <v>660</v>
      </c>
      <c r="T391" s="151"/>
      <c r="U391" s="153"/>
      <c r="V391" s="151"/>
      <c r="W391" s="153"/>
      <c r="X391" s="151"/>
      <c r="Y391" s="153"/>
      <c r="Z391" s="61">
        <f t="shared" ref="Z391:Z417" si="69">D391+F391+H391+J391+L391+P391+R391+T391+V391+X391+N391</f>
        <v>33556</v>
      </c>
      <c r="AA391" s="75">
        <f t="shared" ref="AA391:AA417" si="70">E391+G391+I391+K391+M391+Q391+S391+U391+W391+Y391+O391</f>
        <v>28866</v>
      </c>
      <c r="AB391" s="151">
        <v>200</v>
      </c>
      <c r="AC391" s="153">
        <v>100</v>
      </c>
      <c r="AD391" s="151">
        <v>1880</v>
      </c>
      <c r="AE391" s="153">
        <v>1770</v>
      </c>
      <c r="AF391" s="151">
        <v>2325</v>
      </c>
      <c r="AG391" s="153">
        <v>2090</v>
      </c>
      <c r="AH391" s="151"/>
      <c r="AI391" s="153"/>
      <c r="AJ391" s="151"/>
      <c r="AK391" s="153"/>
      <c r="AL391" s="151"/>
      <c r="AM391" s="153"/>
      <c r="AN391" s="151"/>
      <c r="AO391" s="153"/>
      <c r="AP391" s="61">
        <f t="shared" ref="AP391:AP417" si="71">Z391+AB391+AD391+AF391+AH391+AJ391+AL391+AN391</f>
        <v>37961</v>
      </c>
      <c r="AQ391" s="75">
        <f t="shared" ref="AQ391:AQ417" si="72">AA391+AC391+AE391+AG391+AI391+AK391+AM391+AO391</f>
        <v>32826</v>
      </c>
      <c r="AR391" s="150" t="s">
        <v>58</v>
      </c>
    </row>
    <row r="392" spans="1:44" x14ac:dyDescent="0.25">
      <c r="A392" s="4" t="s">
        <v>264</v>
      </c>
      <c r="B392" s="4" t="s">
        <v>126</v>
      </c>
      <c r="C392" s="5" t="s">
        <v>73</v>
      </c>
      <c r="D392" s="151">
        <v>8279</v>
      </c>
      <c r="E392" s="153">
        <v>8973</v>
      </c>
      <c r="F392" s="151"/>
      <c r="G392" s="153"/>
      <c r="H392" s="151"/>
      <c r="I392" s="153"/>
      <c r="J392" s="151"/>
      <c r="K392" s="153"/>
      <c r="L392" s="151"/>
      <c r="M392" s="153"/>
      <c r="N392" s="151"/>
      <c r="O392" s="153"/>
      <c r="P392" s="151"/>
      <c r="Q392" s="74"/>
      <c r="R392" s="151">
        <v>396</v>
      </c>
      <c r="S392" s="153">
        <v>363</v>
      </c>
      <c r="T392" s="151"/>
      <c r="U392" s="153"/>
      <c r="V392" s="151"/>
      <c r="W392" s="153"/>
      <c r="X392" s="151"/>
      <c r="Y392" s="153"/>
      <c r="Z392" s="61">
        <f t="shared" si="69"/>
        <v>8675</v>
      </c>
      <c r="AA392" s="75">
        <f t="shared" si="70"/>
        <v>9336</v>
      </c>
      <c r="AB392" s="151">
        <v>50</v>
      </c>
      <c r="AC392" s="153">
        <v>50</v>
      </c>
      <c r="AD392" s="151">
        <v>170</v>
      </c>
      <c r="AE392" s="153">
        <v>170</v>
      </c>
      <c r="AF392" s="151">
        <v>1270</v>
      </c>
      <c r="AG392" s="153">
        <v>1250</v>
      </c>
      <c r="AH392" s="151">
        <v>1215</v>
      </c>
      <c r="AI392" s="153">
        <v>1178</v>
      </c>
      <c r="AJ392" s="151"/>
      <c r="AK392" s="153"/>
      <c r="AL392" s="151"/>
      <c r="AM392" s="153"/>
      <c r="AN392" s="151"/>
      <c r="AO392" s="153"/>
      <c r="AP392" s="61">
        <f t="shared" si="71"/>
        <v>11380</v>
      </c>
      <c r="AQ392" s="75">
        <f t="shared" si="72"/>
        <v>11984</v>
      </c>
      <c r="AR392" s="150" t="s">
        <v>74</v>
      </c>
    </row>
    <row r="393" spans="1:44" x14ac:dyDescent="0.25">
      <c r="A393" s="4" t="s">
        <v>264</v>
      </c>
      <c r="B393" s="4" t="s">
        <v>265</v>
      </c>
      <c r="C393" s="5" t="s">
        <v>73</v>
      </c>
      <c r="D393" s="151"/>
      <c r="E393" s="153"/>
      <c r="F393" s="151"/>
      <c r="G393" s="153"/>
      <c r="H393" s="151"/>
      <c r="I393" s="153"/>
      <c r="J393" s="151"/>
      <c r="K393" s="153"/>
      <c r="L393" s="151"/>
      <c r="M393" s="153"/>
      <c r="N393" s="151"/>
      <c r="O393" s="153"/>
      <c r="P393" s="151"/>
      <c r="Q393" s="153"/>
      <c r="R393" s="151"/>
      <c r="S393" s="153"/>
      <c r="T393" s="151"/>
      <c r="U393" s="153"/>
      <c r="V393" s="151"/>
      <c r="W393" s="153"/>
      <c r="X393" s="151"/>
      <c r="Y393" s="153"/>
      <c r="Z393" s="61">
        <f t="shared" si="69"/>
        <v>0</v>
      </c>
      <c r="AA393" s="75">
        <f t="shared" si="70"/>
        <v>0</v>
      </c>
      <c r="AB393" s="151"/>
      <c r="AC393" s="153"/>
      <c r="AD393" s="151">
        <v>720</v>
      </c>
      <c r="AE393" s="153">
        <v>720</v>
      </c>
      <c r="AF393" s="151">
        <v>30</v>
      </c>
      <c r="AG393" s="153">
        <v>0</v>
      </c>
      <c r="AH393" s="151"/>
      <c r="AI393" s="153"/>
      <c r="AJ393" s="151"/>
      <c r="AK393" s="153"/>
      <c r="AL393" s="151"/>
      <c r="AM393" s="153"/>
      <c r="AN393" s="151"/>
      <c r="AO393" s="153"/>
      <c r="AP393" s="61">
        <f t="shared" si="71"/>
        <v>750</v>
      </c>
      <c r="AQ393" s="75">
        <f t="shared" si="72"/>
        <v>720</v>
      </c>
      <c r="AR393" s="150" t="s">
        <v>58</v>
      </c>
    </row>
    <row r="394" spans="1:44" x14ac:dyDescent="0.25">
      <c r="A394" s="4" t="s">
        <v>264</v>
      </c>
      <c r="B394" s="4" t="s">
        <v>98</v>
      </c>
      <c r="C394" s="5" t="s">
        <v>99</v>
      </c>
      <c r="D394" s="151"/>
      <c r="E394" s="153"/>
      <c r="F394" s="151"/>
      <c r="G394" s="153"/>
      <c r="H394" s="151"/>
      <c r="I394" s="153"/>
      <c r="J394" s="151"/>
      <c r="K394" s="153"/>
      <c r="L394" s="151"/>
      <c r="M394" s="153"/>
      <c r="N394" s="151"/>
      <c r="O394" s="153"/>
      <c r="P394" s="151"/>
      <c r="Q394" s="153"/>
      <c r="R394" s="151">
        <v>320</v>
      </c>
      <c r="S394" s="153">
        <v>320</v>
      </c>
      <c r="T394" s="151"/>
      <c r="U394" s="153"/>
      <c r="V394" s="151"/>
      <c r="W394" s="153"/>
      <c r="X394" s="151"/>
      <c r="Y394" s="153"/>
      <c r="Z394" s="61">
        <f t="shared" si="69"/>
        <v>320</v>
      </c>
      <c r="AA394" s="75">
        <f t="shared" si="70"/>
        <v>320</v>
      </c>
      <c r="AB394" s="151"/>
      <c r="AC394" s="153"/>
      <c r="AD394" s="151">
        <v>20</v>
      </c>
      <c r="AE394" s="153">
        <v>20</v>
      </c>
      <c r="AF394" s="151">
        <v>500</v>
      </c>
      <c r="AG394" s="153">
        <v>370</v>
      </c>
      <c r="AH394" s="151"/>
      <c r="AI394" s="153"/>
      <c r="AJ394" s="151"/>
      <c r="AK394" s="153"/>
      <c r="AL394" s="151"/>
      <c r="AM394" s="153"/>
      <c r="AN394" s="151"/>
      <c r="AO394" s="153"/>
      <c r="AP394" s="61">
        <f t="shared" si="71"/>
        <v>840</v>
      </c>
      <c r="AQ394" s="75">
        <f t="shared" si="72"/>
        <v>710</v>
      </c>
      <c r="AR394" s="150" t="s">
        <v>58</v>
      </c>
    </row>
    <row r="395" spans="1:44" ht="30" x14ac:dyDescent="0.25">
      <c r="A395" s="4" t="s">
        <v>264</v>
      </c>
      <c r="B395" s="4" t="s">
        <v>224</v>
      </c>
      <c r="C395" s="5" t="s">
        <v>104</v>
      </c>
      <c r="D395" s="151"/>
      <c r="E395" s="153"/>
      <c r="F395" s="151"/>
      <c r="G395" s="153"/>
      <c r="H395" s="151"/>
      <c r="I395" s="153"/>
      <c r="J395" s="151"/>
      <c r="K395" s="153"/>
      <c r="L395" s="151"/>
      <c r="M395" s="153"/>
      <c r="N395" s="151"/>
      <c r="O395" s="153"/>
      <c r="P395" s="151"/>
      <c r="Q395" s="153"/>
      <c r="R395" s="151">
        <v>320</v>
      </c>
      <c r="S395" s="153">
        <v>320</v>
      </c>
      <c r="T395" s="151"/>
      <c r="U395" s="153"/>
      <c r="V395" s="151"/>
      <c r="W395" s="153"/>
      <c r="X395" s="151"/>
      <c r="Y395" s="153"/>
      <c r="Z395" s="61">
        <f t="shared" si="69"/>
        <v>320</v>
      </c>
      <c r="AA395" s="75">
        <f t="shared" si="70"/>
        <v>320</v>
      </c>
      <c r="AB395" s="151"/>
      <c r="AC395" s="153"/>
      <c r="AD395" s="151">
        <v>45</v>
      </c>
      <c r="AE395" s="153">
        <v>20</v>
      </c>
      <c r="AF395" s="151">
        <v>500</v>
      </c>
      <c r="AG395" s="153">
        <v>370</v>
      </c>
      <c r="AH395" s="151"/>
      <c r="AI395" s="153"/>
      <c r="AJ395" s="151"/>
      <c r="AK395" s="153"/>
      <c r="AL395" s="151"/>
      <c r="AM395" s="153"/>
      <c r="AN395" s="151"/>
      <c r="AO395" s="153"/>
      <c r="AP395" s="61">
        <f t="shared" si="71"/>
        <v>865</v>
      </c>
      <c r="AQ395" s="75">
        <f t="shared" si="72"/>
        <v>710</v>
      </c>
      <c r="AR395" s="150" t="s">
        <v>102</v>
      </c>
    </row>
    <row r="396" spans="1:44" x14ac:dyDescent="0.25">
      <c r="A396" s="4" t="s">
        <v>264</v>
      </c>
      <c r="B396" s="4" t="s">
        <v>229</v>
      </c>
      <c r="C396" s="5" t="s">
        <v>60</v>
      </c>
      <c r="D396" s="151">
        <v>88198</v>
      </c>
      <c r="E396" s="153">
        <v>111468</v>
      </c>
      <c r="F396" s="151"/>
      <c r="G396" s="153"/>
      <c r="H396" s="151"/>
      <c r="I396" s="153"/>
      <c r="J396" s="151">
        <v>2912</v>
      </c>
      <c r="K396" s="153">
        <v>2912</v>
      </c>
      <c r="L396" s="151">
        <v>497</v>
      </c>
      <c r="M396" s="153">
        <v>648</v>
      </c>
      <c r="N396" s="151">
        <v>955</v>
      </c>
      <c r="O396" s="153">
        <v>955</v>
      </c>
      <c r="P396" s="151"/>
      <c r="Q396" s="153"/>
      <c r="R396" s="151">
        <v>2988</v>
      </c>
      <c r="S396" s="153">
        <v>3010</v>
      </c>
      <c r="T396" s="151"/>
      <c r="U396" s="153"/>
      <c r="V396" s="151"/>
      <c r="W396" s="153"/>
      <c r="X396" s="151"/>
      <c r="Y396" s="153"/>
      <c r="Z396" s="61">
        <f t="shared" si="69"/>
        <v>95550</v>
      </c>
      <c r="AA396" s="75">
        <f t="shared" si="70"/>
        <v>118993</v>
      </c>
      <c r="AB396" s="151">
        <v>50</v>
      </c>
      <c r="AC396" s="153">
        <v>50</v>
      </c>
      <c r="AD396" s="151">
        <v>5864</v>
      </c>
      <c r="AE396" s="153">
        <v>5860</v>
      </c>
      <c r="AF396" s="151">
        <v>2350</v>
      </c>
      <c r="AG396" s="153">
        <v>2350</v>
      </c>
      <c r="AH396" s="151"/>
      <c r="AI396" s="153"/>
      <c r="AJ396" s="151"/>
      <c r="AK396" s="153"/>
      <c r="AL396" s="151"/>
      <c r="AM396" s="153"/>
      <c r="AN396" s="151"/>
      <c r="AO396" s="153"/>
      <c r="AP396" s="61">
        <f t="shared" si="71"/>
        <v>103814</v>
      </c>
      <c r="AQ396" s="75">
        <f t="shared" si="72"/>
        <v>127253</v>
      </c>
      <c r="AR396" s="150" t="s">
        <v>167</v>
      </c>
    </row>
    <row r="397" spans="1:44" ht="26.25" x14ac:dyDescent="0.25">
      <c r="A397" s="4" t="s">
        <v>264</v>
      </c>
      <c r="B397" s="4" t="s">
        <v>62</v>
      </c>
      <c r="C397" s="5" t="s">
        <v>60</v>
      </c>
      <c r="D397" s="151"/>
      <c r="E397" s="153"/>
      <c r="F397" s="151"/>
      <c r="G397" s="153"/>
      <c r="H397" s="151"/>
      <c r="I397" s="153"/>
      <c r="J397" s="151"/>
      <c r="K397" s="153"/>
      <c r="L397" s="43">
        <v>2312</v>
      </c>
      <c r="M397" s="153">
        <v>2312</v>
      </c>
      <c r="N397" s="151"/>
      <c r="O397" s="153"/>
      <c r="P397" s="151"/>
      <c r="Q397" s="153"/>
      <c r="R397" s="151">
        <v>180</v>
      </c>
      <c r="S397" s="153">
        <v>180</v>
      </c>
      <c r="T397" s="151"/>
      <c r="U397" s="153"/>
      <c r="V397" s="151"/>
      <c r="W397" s="153"/>
      <c r="X397" s="151"/>
      <c r="Y397" s="153"/>
      <c r="Z397" s="61">
        <f t="shared" si="69"/>
        <v>2492</v>
      </c>
      <c r="AA397" s="75">
        <f t="shared" si="70"/>
        <v>2492</v>
      </c>
      <c r="AB397" s="151"/>
      <c r="AC397" s="153"/>
      <c r="AD397" s="151">
        <v>9625</v>
      </c>
      <c r="AE397" s="153">
        <f>12875-AG397-S397-M397</f>
        <v>9933</v>
      </c>
      <c r="AF397" s="151">
        <v>450</v>
      </c>
      <c r="AG397" s="153">
        <v>450</v>
      </c>
      <c r="AH397" s="151"/>
      <c r="AI397" s="153"/>
      <c r="AJ397" s="151"/>
      <c r="AK397" s="153"/>
      <c r="AL397" s="151"/>
      <c r="AM397" s="153"/>
      <c r="AN397" s="151"/>
      <c r="AO397" s="153"/>
      <c r="AP397" s="61">
        <f t="shared" si="71"/>
        <v>12567</v>
      </c>
      <c r="AQ397" s="75">
        <f t="shared" si="72"/>
        <v>12875</v>
      </c>
      <c r="AR397" s="150" t="s">
        <v>171</v>
      </c>
    </row>
    <row r="398" spans="1:44" x14ac:dyDescent="0.25">
      <c r="A398" s="4" t="s">
        <v>264</v>
      </c>
      <c r="B398" s="4" t="s">
        <v>64</v>
      </c>
      <c r="C398" s="5" t="s">
        <v>60</v>
      </c>
      <c r="D398" s="151"/>
      <c r="E398" s="153"/>
      <c r="F398" s="151"/>
      <c r="G398" s="153"/>
      <c r="H398" s="151"/>
      <c r="I398" s="153"/>
      <c r="J398" s="151"/>
      <c r="K398" s="153"/>
      <c r="L398" s="43"/>
      <c r="M398" s="153"/>
      <c r="N398" s="151"/>
      <c r="O398" s="153"/>
      <c r="P398" s="151"/>
      <c r="Q398" s="153"/>
      <c r="R398" s="151"/>
      <c r="S398" s="153"/>
      <c r="T398" s="151"/>
      <c r="U398" s="153"/>
      <c r="V398" s="151"/>
      <c r="W398" s="153"/>
      <c r="X398" s="151"/>
      <c r="Y398" s="153"/>
      <c r="Z398" s="61">
        <f t="shared" si="69"/>
        <v>0</v>
      </c>
      <c r="AA398" s="75">
        <f t="shared" si="70"/>
        <v>0</v>
      </c>
      <c r="AB398" s="151"/>
      <c r="AC398" s="153"/>
      <c r="AD398" s="151">
        <v>20117</v>
      </c>
      <c r="AE398" s="153">
        <v>19837</v>
      </c>
      <c r="AF398" s="151"/>
      <c r="AG398" s="153"/>
      <c r="AH398" s="151"/>
      <c r="AI398" s="153"/>
      <c r="AJ398" s="151"/>
      <c r="AK398" s="153"/>
      <c r="AL398" s="151"/>
      <c r="AM398" s="153"/>
      <c r="AN398" s="151"/>
      <c r="AO398" s="153"/>
      <c r="AP398" s="61">
        <f t="shared" si="71"/>
        <v>20117</v>
      </c>
      <c r="AQ398" s="75">
        <f t="shared" si="72"/>
        <v>19837</v>
      </c>
      <c r="AR398" s="150" t="s">
        <v>171</v>
      </c>
    </row>
    <row r="399" spans="1:44" x14ac:dyDescent="0.25">
      <c r="A399" s="4" t="s">
        <v>264</v>
      </c>
      <c r="B399" s="4" t="s">
        <v>77</v>
      </c>
      <c r="C399" s="5" t="s">
        <v>73</v>
      </c>
      <c r="D399" s="151">
        <v>19060</v>
      </c>
      <c r="E399" s="153">
        <v>19132</v>
      </c>
      <c r="F399" s="151">
        <v>294</v>
      </c>
      <c r="G399" s="153">
        <v>204</v>
      </c>
      <c r="H399" s="151">
        <v>1680</v>
      </c>
      <c r="I399" s="153">
        <v>1680</v>
      </c>
      <c r="J399" s="151"/>
      <c r="K399" s="153"/>
      <c r="L399" s="151">
        <v>2480</v>
      </c>
      <c r="M399" s="153">
        <v>2160</v>
      </c>
      <c r="N399" s="151"/>
      <c r="O399" s="153"/>
      <c r="P399" s="151"/>
      <c r="Q399" s="153"/>
      <c r="R399" s="151">
        <v>432</v>
      </c>
      <c r="S399" s="153">
        <v>660</v>
      </c>
      <c r="T399" s="151"/>
      <c r="U399" s="153"/>
      <c r="V399" s="151"/>
      <c r="W399" s="153"/>
      <c r="X399" s="151"/>
      <c r="Y399" s="153"/>
      <c r="Z399" s="61">
        <f t="shared" si="69"/>
        <v>23946</v>
      </c>
      <c r="AA399" s="75">
        <f t="shared" si="70"/>
        <v>23836</v>
      </c>
      <c r="AB399" s="151">
        <v>50</v>
      </c>
      <c r="AC399" s="153">
        <v>50</v>
      </c>
      <c r="AD399" s="151">
        <v>3740</v>
      </c>
      <c r="AE399" s="153">
        <v>3740</v>
      </c>
      <c r="AF399" s="151">
        <v>4140</v>
      </c>
      <c r="AG399" s="153">
        <v>3720</v>
      </c>
      <c r="AH399" s="151"/>
      <c r="AI399" s="153"/>
      <c r="AJ399" s="151"/>
      <c r="AK399" s="153"/>
      <c r="AL399" s="151"/>
      <c r="AM399" s="153"/>
      <c r="AN399" s="151"/>
      <c r="AO399" s="153"/>
      <c r="AP399" s="61">
        <f t="shared" si="71"/>
        <v>31876</v>
      </c>
      <c r="AQ399" s="75">
        <f t="shared" si="72"/>
        <v>31346</v>
      </c>
      <c r="AR399" s="150" t="s">
        <v>74</v>
      </c>
    </row>
    <row r="400" spans="1:44" x14ac:dyDescent="0.25">
      <c r="A400" s="4" t="s">
        <v>264</v>
      </c>
      <c r="B400" s="4" t="s">
        <v>235</v>
      </c>
      <c r="C400" s="5" t="s">
        <v>79</v>
      </c>
      <c r="D400" s="151">
        <v>1980</v>
      </c>
      <c r="E400" s="153">
        <v>2076</v>
      </c>
      <c r="F400" s="151"/>
      <c r="G400" s="153"/>
      <c r="H400" s="151"/>
      <c r="I400" s="153"/>
      <c r="J400" s="151"/>
      <c r="K400" s="153"/>
      <c r="L400" s="151"/>
      <c r="M400" s="153"/>
      <c r="N400" s="151"/>
      <c r="O400" s="153"/>
      <c r="P400" s="151"/>
      <c r="Q400" s="153"/>
      <c r="R400" s="151"/>
      <c r="S400" s="153"/>
      <c r="T400" s="151"/>
      <c r="U400" s="153"/>
      <c r="V400" s="151"/>
      <c r="W400" s="153"/>
      <c r="X400" s="151"/>
      <c r="Y400" s="153"/>
      <c r="Z400" s="61">
        <f t="shared" si="69"/>
        <v>1980</v>
      </c>
      <c r="AA400" s="75">
        <f t="shared" si="70"/>
        <v>2076</v>
      </c>
      <c r="AB400" s="151"/>
      <c r="AC400" s="153"/>
      <c r="AD400" s="151">
        <v>100</v>
      </c>
      <c r="AE400" s="153">
        <v>90</v>
      </c>
      <c r="AF400" s="151">
        <v>650</v>
      </c>
      <c r="AG400" s="153">
        <v>250</v>
      </c>
      <c r="AH400" s="151"/>
      <c r="AI400" s="153"/>
      <c r="AJ400" s="151"/>
      <c r="AK400" s="153"/>
      <c r="AL400" s="151"/>
      <c r="AM400" s="153"/>
      <c r="AN400" s="151"/>
      <c r="AO400" s="153"/>
      <c r="AP400" s="61">
        <f t="shared" si="71"/>
        <v>2730</v>
      </c>
      <c r="AQ400" s="75">
        <f t="shared" si="72"/>
        <v>2416</v>
      </c>
      <c r="AR400" s="150"/>
    </row>
    <row r="401" spans="1:44" x14ac:dyDescent="0.25">
      <c r="A401" s="4" t="s">
        <v>264</v>
      </c>
      <c r="B401" s="4" t="s">
        <v>266</v>
      </c>
      <c r="C401" s="5" t="s">
        <v>67</v>
      </c>
      <c r="D401" s="151">
        <v>11138</v>
      </c>
      <c r="E401" s="153">
        <v>11420</v>
      </c>
      <c r="F401" s="151">
        <v>251</v>
      </c>
      <c r="G401" s="153">
        <v>204</v>
      </c>
      <c r="H401" s="151"/>
      <c r="I401" s="153"/>
      <c r="J401" s="151">
        <v>0</v>
      </c>
      <c r="K401" s="153"/>
      <c r="L401" s="151">
        <v>135</v>
      </c>
      <c r="M401" s="153">
        <v>134</v>
      </c>
      <c r="N401" s="151">
        <v>165</v>
      </c>
      <c r="O401" s="153"/>
      <c r="P401" s="151"/>
      <c r="Q401" s="153"/>
      <c r="R401" s="151"/>
      <c r="S401" s="153"/>
      <c r="T401" s="151"/>
      <c r="U401" s="153"/>
      <c r="V401" s="151"/>
      <c r="W401" s="153"/>
      <c r="X401" s="151"/>
      <c r="Y401" s="153"/>
      <c r="Z401" s="61">
        <f t="shared" si="69"/>
        <v>11689</v>
      </c>
      <c r="AA401" s="75">
        <f t="shared" si="70"/>
        <v>11758</v>
      </c>
      <c r="AB401" s="151">
        <v>60</v>
      </c>
      <c r="AC401" s="153">
        <v>50</v>
      </c>
      <c r="AD401" s="151">
        <v>45</v>
      </c>
      <c r="AE401" s="153">
        <v>45</v>
      </c>
      <c r="AF401" s="151">
        <v>520</v>
      </c>
      <c r="AG401" s="153">
        <v>520</v>
      </c>
      <c r="AH401" s="151"/>
      <c r="AI401" s="153"/>
      <c r="AJ401" s="151"/>
      <c r="AK401" s="153"/>
      <c r="AL401" s="151"/>
      <c r="AM401" s="153"/>
      <c r="AN401" s="151"/>
      <c r="AO401" s="153"/>
      <c r="AP401" s="61">
        <f t="shared" si="71"/>
        <v>12314</v>
      </c>
      <c r="AQ401" s="75">
        <f t="shared" si="72"/>
        <v>12373</v>
      </c>
      <c r="AR401" s="150" t="s">
        <v>68</v>
      </c>
    </row>
    <row r="402" spans="1:44" x14ac:dyDescent="0.25">
      <c r="A402" s="4" t="s">
        <v>264</v>
      </c>
      <c r="B402" s="4" t="s">
        <v>267</v>
      </c>
      <c r="C402" s="5" t="s">
        <v>268</v>
      </c>
      <c r="D402" s="151"/>
      <c r="E402" s="153"/>
      <c r="F402" s="151"/>
      <c r="G402" s="153"/>
      <c r="H402" s="151"/>
      <c r="I402" s="153"/>
      <c r="J402" s="151"/>
      <c r="K402" s="153"/>
      <c r="L402" s="151"/>
      <c r="M402" s="153"/>
      <c r="N402" s="151"/>
      <c r="O402" s="153"/>
      <c r="P402" s="151"/>
      <c r="Q402" s="153"/>
      <c r="R402" s="151"/>
      <c r="S402" s="153"/>
      <c r="T402" s="151"/>
      <c r="U402" s="153"/>
      <c r="V402" s="151"/>
      <c r="W402" s="153"/>
      <c r="X402" s="151">
        <v>218</v>
      </c>
      <c r="Y402" s="153">
        <v>218</v>
      </c>
      <c r="Z402" s="61">
        <f t="shared" si="69"/>
        <v>218</v>
      </c>
      <c r="AA402" s="75">
        <f t="shared" si="70"/>
        <v>218</v>
      </c>
      <c r="AB402" s="151"/>
      <c r="AC402" s="153"/>
      <c r="AD402" s="151"/>
      <c r="AE402" s="153"/>
      <c r="AF402" s="151"/>
      <c r="AG402" s="153"/>
      <c r="AH402" s="151"/>
      <c r="AI402" s="153"/>
      <c r="AJ402" s="151"/>
      <c r="AK402" s="153"/>
      <c r="AL402" s="151"/>
      <c r="AM402" s="153"/>
      <c r="AN402" s="151"/>
      <c r="AO402" s="153"/>
      <c r="AP402" s="61">
        <f t="shared" si="71"/>
        <v>218</v>
      </c>
      <c r="AQ402" s="75">
        <f t="shared" si="72"/>
        <v>218</v>
      </c>
      <c r="AR402" s="150" t="s">
        <v>167</v>
      </c>
    </row>
    <row r="403" spans="1:44" x14ac:dyDescent="0.25">
      <c r="A403" s="4" t="s">
        <v>264</v>
      </c>
      <c r="B403" s="4" t="s">
        <v>181</v>
      </c>
      <c r="C403" s="5" t="s">
        <v>82</v>
      </c>
      <c r="D403" s="151">
        <v>13997</v>
      </c>
      <c r="E403" s="153">
        <v>16907</v>
      </c>
      <c r="F403" s="151">
        <v>205</v>
      </c>
      <c r="G403" s="153">
        <v>204</v>
      </c>
      <c r="H403" s="151">
        <v>2238</v>
      </c>
      <c r="I403" s="153">
        <v>2238</v>
      </c>
      <c r="J403" s="151"/>
      <c r="K403" s="153"/>
      <c r="L403" s="151">
        <v>1347</v>
      </c>
      <c r="M403" s="153">
        <v>1347</v>
      </c>
      <c r="N403" s="151"/>
      <c r="O403" s="153"/>
      <c r="P403" s="151"/>
      <c r="Q403" s="153"/>
      <c r="R403" s="151">
        <v>95</v>
      </c>
      <c r="S403" s="153">
        <v>95</v>
      </c>
      <c r="T403" s="151">
        <v>3704</v>
      </c>
      <c r="U403" s="153">
        <v>3549</v>
      </c>
      <c r="V403" s="151"/>
      <c r="W403" s="153"/>
      <c r="X403" s="151"/>
      <c r="Y403" s="153"/>
      <c r="Z403" s="61">
        <f t="shared" si="69"/>
        <v>21586</v>
      </c>
      <c r="AA403" s="75">
        <f t="shared" si="70"/>
        <v>24340</v>
      </c>
      <c r="AB403" s="151">
        <v>45</v>
      </c>
      <c r="AC403" s="153">
        <v>45</v>
      </c>
      <c r="AD403" s="151">
        <v>2090</v>
      </c>
      <c r="AE403" s="153">
        <v>2090</v>
      </c>
      <c r="AF403" s="151">
        <v>3825</v>
      </c>
      <c r="AG403" s="153">
        <v>3750</v>
      </c>
      <c r="AH403" s="151"/>
      <c r="AI403" s="153"/>
      <c r="AJ403" s="151"/>
      <c r="AK403" s="153"/>
      <c r="AL403" s="151"/>
      <c r="AM403" s="153"/>
      <c r="AN403" s="151"/>
      <c r="AO403" s="153"/>
      <c r="AP403" s="61">
        <f t="shared" si="71"/>
        <v>27546</v>
      </c>
      <c r="AQ403" s="75">
        <f t="shared" si="72"/>
        <v>30225</v>
      </c>
      <c r="AR403" s="150" t="s">
        <v>128</v>
      </c>
    </row>
    <row r="404" spans="1:44" ht="26.25" x14ac:dyDescent="0.25">
      <c r="A404" s="4" t="s">
        <v>264</v>
      </c>
      <c r="B404" s="4" t="s">
        <v>83</v>
      </c>
      <c r="C404" s="5" t="s">
        <v>82</v>
      </c>
      <c r="D404" s="151">
        <f>16142+420</f>
        <v>16562</v>
      </c>
      <c r="E404" s="153">
        <v>15820</v>
      </c>
      <c r="F404" s="151"/>
      <c r="G404" s="153"/>
      <c r="H404" s="151"/>
      <c r="I404" s="153"/>
      <c r="J404" s="151"/>
      <c r="K404" s="153"/>
      <c r="L404" s="151"/>
      <c r="M404" s="153"/>
      <c r="N404" s="151"/>
      <c r="O404" s="153"/>
      <c r="P404" s="151"/>
      <c r="Q404" s="153"/>
      <c r="R404" s="151"/>
      <c r="S404" s="153"/>
      <c r="T404" s="151"/>
      <c r="U404" s="153"/>
      <c r="V404" s="151"/>
      <c r="W404" s="153"/>
      <c r="X404" s="151"/>
      <c r="Y404" s="153"/>
      <c r="Z404" s="61">
        <f t="shared" si="69"/>
        <v>16562</v>
      </c>
      <c r="AA404" s="75">
        <f t="shared" si="70"/>
        <v>15820</v>
      </c>
      <c r="AB404" s="151"/>
      <c r="AC404" s="153"/>
      <c r="AD404" s="151"/>
      <c r="AE404" s="153"/>
      <c r="AF404" s="151"/>
      <c r="AG404" s="153"/>
      <c r="AH404" s="151"/>
      <c r="AI404" s="153"/>
      <c r="AJ404" s="151"/>
      <c r="AK404" s="153"/>
      <c r="AL404" s="151"/>
      <c r="AM404" s="153"/>
      <c r="AN404" s="151"/>
      <c r="AO404" s="153"/>
      <c r="AP404" s="61">
        <f t="shared" si="71"/>
        <v>16562</v>
      </c>
      <c r="AQ404" s="75">
        <f t="shared" si="72"/>
        <v>15820</v>
      </c>
      <c r="AR404" s="150" t="s">
        <v>128</v>
      </c>
    </row>
    <row r="405" spans="1:44" x14ac:dyDescent="0.25">
      <c r="A405" s="4" t="s">
        <v>264</v>
      </c>
      <c r="B405" s="4" t="s">
        <v>85</v>
      </c>
      <c r="C405" s="5" t="s">
        <v>86</v>
      </c>
      <c r="D405" s="151">
        <v>28679</v>
      </c>
      <c r="E405" s="153">
        <v>32020</v>
      </c>
      <c r="F405" s="151">
        <v>1210</v>
      </c>
      <c r="G405" s="153">
        <v>1010</v>
      </c>
      <c r="H405" s="151">
        <v>21600</v>
      </c>
      <c r="I405" s="153">
        <v>21600</v>
      </c>
      <c r="J405" s="151"/>
      <c r="K405" s="153"/>
      <c r="L405" s="151">
        <v>7450</v>
      </c>
      <c r="M405" s="153">
        <v>6960</v>
      </c>
      <c r="N405" s="151"/>
      <c r="O405" s="153"/>
      <c r="P405" s="151">
        <v>688</v>
      </c>
      <c r="Q405" s="153">
        <v>688</v>
      </c>
      <c r="R405" s="151">
        <v>1020</v>
      </c>
      <c r="S405" s="153">
        <v>920</v>
      </c>
      <c r="T405" s="151">
        <v>1595</v>
      </c>
      <c r="U405" s="153">
        <f>1534+1050</f>
        <v>2584</v>
      </c>
      <c r="V405" s="151"/>
      <c r="W405" s="153"/>
      <c r="X405" s="151"/>
      <c r="Y405" s="153"/>
      <c r="Z405" s="61">
        <f t="shared" si="69"/>
        <v>62242</v>
      </c>
      <c r="AA405" s="75">
        <f t="shared" si="70"/>
        <v>65782</v>
      </c>
      <c r="AB405" s="151">
        <v>70</v>
      </c>
      <c r="AC405" s="153">
        <v>70</v>
      </c>
      <c r="AD405" s="151">
        <v>6423</v>
      </c>
      <c r="AE405" s="153">
        <v>5950</v>
      </c>
      <c r="AF405" s="151">
        <v>8060</v>
      </c>
      <c r="AG405" s="153">
        <v>7750</v>
      </c>
      <c r="AH405" s="151"/>
      <c r="AI405" s="153"/>
      <c r="AJ405" s="151"/>
      <c r="AK405" s="153"/>
      <c r="AL405" s="151"/>
      <c r="AM405" s="153"/>
      <c r="AN405" s="151"/>
      <c r="AO405" s="153"/>
      <c r="AP405" s="61">
        <f t="shared" si="71"/>
        <v>76795</v>
      </c>
      <c r="AQ405" s="75">
        <f t="shared" si="72"/>
        <v>79552</v>
      </c>
      <c r="AR405" s="150" t="s">
        <v>128</v>
      </c>
    </row>
    <row r="406" spans="1:44" ht="26.25" x14ac:dyDescent="0.25">
      <c r="A406" s="4" t="s">
        <v>264</v>
      </c>
      <c r="B406" s="4" t="s">
        <v>87</v>
      </c>
      <c r="C406" s="5" t="s">
        <v>86</v>
      </c>
      <c r="D406" s="151">
        <v>22981</v>
      </c>
      <c r="E406" s="153">
        <v>25598</v>
      </c>
      <c r="F406" s="151"/>
      <c r="G406" s="153"/>
      <c r="H406" s="151"/>
      <c r="I406" s="153"/>
      <c r="J406" s="151"/>
      <c r="K406" s="153"/>
      <c r="L406" s="151"/>
      <c r="M406" s="153"/>
      <c r="N406" s="151"/>
      <c r="O406" s="153"/>
      <c r="P406" s="151"/>
      <c r="Q406" s="153"/>
      <c r="R406" s="151"/>
      <c r="S406" s="153"/>
      <c r="T406" s="151"/>
      <c r="U406" s="153"/>
      <c r="V406" s="151"/>
      <c r="W406" s="153"/>
      <c r="X406" s="151"/>
      <c r="Y406" s="153"/>
      <c r="Z406" s="61">
        <f t="shared" si="69"/>
        <v>22981</v>
      </c>
      <c r="AA406" s="75">
        <f t="shared" si="70"/>
        <v>25598</v>
      </c>
      <c r="AB406" s="151"/>
      <c r="AC406" s="153"/>
      <c r="AD406" s="151"/>
      <c r="AE406" s="153"/>
      <c r="AF406" s="151"/>
      <c r="AG406" s="153"/>
      <c r="AH406" s="151"/>
      <c r="AI406" s="153"/>
      <c r="AJ406" s="151"/>
      <c r="AK406" s="153"/>
      <c r="AL406" s="151"/>
      <c r="AM406" s="153"/>
      <c r="AN406" s="151"/>
      <c r="AO406" s="153"/>
      <c r="AP406" s="61">
        <f t="shared" si="71"/>
        <v>22981</v>
      </c>
      <c r="AQ406" s="75">
        <f t="shared" si="72"/>
        <v>25598</v>
      </c>
      <c r="AR406" s="150" t="s">
        <v>128</v>
      </c>
    </row>
    <row r="407" spans="1:44" ht="26.25" x14ac:dyDescent="0.25">
      <c r="A407" s="4" t="s">
        <v>264</v>
      </c>
      <c r="B407" s="4" t="s">
        <v>88</v>
      </c>
      <c r="C407" s="5" t="s">
        <v>86</v>
      </c>
      <c r="D407" s="151"/>
      <c r="E407" s="153"/>
      <c r="F407" s="151"/>
      <c r="G407" s="153"/>
      <c r="H407" s="151"/>
      <c r="I407" s="153"/>
      <c r="J407" s="151"/>
      <c r="K407" s="153"/>
      <c r="L407" s="151"/>
      <c r="M407" s="153"/>
      <c r="N407" s="151"/>
      <c r="O407" s="153"/>
      <c r="P407" s="151"/>
      <c r="Q407" s="153"/>
      <c r="R407" s="151"/>
      <c r="S407" s="153"/>
      <c r="T407" s="151">
        <v>886</v>
      </c>
      <c r="U407" s="153">
        <v>750</v>
      </c>
      <c r="V407" s="151"/>
      <c r="W407" s="153"/>
      <c r="X407" s="151"/>
      <c r="Y407" s="153"/>
      <c r="Z407" s="61">
        <f t="shared" si="69"/>
        <v>886</v>
      </c>
      <c r="AA407" s="75">
        <f t="shared" si="70"/>
        <v>750</v>
      </c>
      <c r="AB407" s="151"/>
      <c r="AC407" s="153"/>
      <c r="AD407" s="151"/>
      <c r="AE407" s="153"/>
      <c r="AF407" s="151"/>
      <c r="AG407" s="153"/>
      <c r="AH407" s="151"/>
      <c r="AI407" s="153"/>
      <c r="AJ407" s="151"/>
      <c r="AK407" s="153"/>
      <c r="AL407" s="151"/>
      <c r="AM407" s="153"/>
      <c r="AN407" s="151"/>
      <c r="AO407" s="153"/>
      <c r="AP407" s="61">
        <f t="shared" si="71"/>
        <v>886</v>
      </c>
      <c r="AQ407" s="75">
        <f t="shared" si="72"/>
        <v>750</v>
      </c>
      <c r="AR407" s="150" t="s">
        <v>128</v>
      </c>
    </row>
    <row r="408" spans="1:44" ht="26.25" x14ac:dyDescent="0.25">
      <c r="A408" s="4" t="s">
        <v>264</v>
      </c>
      <c r="B408" s="4" t="s">
        <v>89</v>
      </c>
      <c r="C408" s="5" t="s">
        <v>86</v>
      </c>
      <c r="D408" s="151"/>
      <c r="E408" s="153"/>
      <c r="F408" s="151"/>
      <c r="G408" s="153"/>
      <c r="H408" s="151"/>
      <c r="I408" s="153"/>
      <c r="J408" s="151"/>
      <c r="K408" s="153"/>
      <c r="L408" s="151"/>
      <c r="M408" s="153"/>
      <c r="N408" s="151"/>
      <c r="O408" s="153"/>
      <c r="P408" s="151"/>
      <c r="Q408" s="153"/>
      <c r="R408" s="151"/>
      <c r="S408" s="153"/>
      <c r="T408" s="151">
        <v>886</v>
      </c>
      <c r="U408" s="153">
        <v>750</v>
      </c>
      <c r="V408" s="151"/>
      <c r="W408" s="153"/>
      <c r="X408" s="151"/>
      <c r="Y408" s="153"/>
      <c r="Z408" s="61">
        <f t="shared" si="69"/>
        <v>886</v>
      </c>
      <c r="AA408" s="75">
        <f t="shared" si="70"/>
        <v>750</v>
      </c>
      <c r="AB408" s="151"/>
      <c r="AC408" s="153"/>
      <c r="AD408" s="151"/>
      <c r="AE408" s="153"/>
      <c r="AF408" s="151"/>
      <c r="AG408" s="153"/>
      <c r="AH408" s="151"/>
      <c r="AI408" s="153"/>
      <c r="AJ408" s="151"/>
      <c r="AK408" s="153"/>
      <c r="AL408" s="151"/>
      <c r="AM408" s="153"/>
      <c r="AN408" s="151"/>
      <c r="AO408" s="153"/>
      <c r="AP408" s="61">
        <f t="shared" si="71"/>
        <v>886</v>
      </c>
      <c r="AQ408" s="75">
        <f t="shared" si="72"/>
        <v>750</v>
      </c>
      <c r="AR408" s="150" t="s">
        <v>80</v>
      </c>
    </row>
    <row r="409" spans="1:44" x14ac:dyDescent="0.25">
      <c r="A409" s="4" t="s">
        <v>264</v>
      </c>
      <c r="B409" s="4" t="s">
        <v>90</v>
      </c>
      <c r="C409" s="5" t="s">
        <v>86</v>
      </c>
      <c r="D409" s="151"/>
      <c r="E409" s="153"/>
      <c r="F409" s="151"/>
      <c r="G409" s="153"/>
      <c r="H409" s="151"/>
      <c r="I409" s="153"/>
      <c r="J409" s="151"/>
      <c r="K409" s="153"/>
      <c r="L409" s="151"/>
      <c r="M409" s="153"/>
      <c r="N409" s="151"/>
      <c r="O409" s="153"/>
      <c r="P409" s="151"/>
      <c r="Q409" s="153"/>
      <c r="R409" s="151"/>
      <c r="S409" s="153"/>
      <c r="T409" s="151">
        <v>2205</v>
      </c>
      <c r="U409" s="153">
        <v>851</v>
      </c>
      <c r="V409" s="151"/>
      <c r="W409" s="153"/>
      <c r="X409" s="151"/>
      <c r="Y409" s="153"/>
      <c r="Z409" s="61">
        <f t="shared" si="69"/>
        <v>2205</v>
      </c>
      <c r="AA409" s="75">
        <f t="shared" si="70"/>
        <v>851</v>
      </c>
      <c r="AB409" s="151"/>
      <c r="AC409" s="153"/>
      <c r="AD409" s="151"/>
      <c r="AE409" s="153"/>
      <c r="AF409" s="151"/>
      <c r="AG409" s="153"/>
      <c r="AH409" s="151"/>
      <c r="AI409" s="153"/>
      <c r="AJ409" s="151"/>
      <c r="AK409" s="153"/>
      <c r="AL409" s="151"/>
      <c r="AM409" s="153"/>
      <c r="AN409" s="151"/>
      <c r="AO409" s="153"/>
      <c r="AP409" s="61">
        <f t="shared" si="71"/>
        <v>2205</v>
      </c>
      <c r="AQ409" s="75">
        <f t="shared" si="72"/>
        <v>851</v>
      </c>
      <c r="AR409" s="150" t="s">
        <v>80</v>
      </c>
    </row>
    <row r="410" spans="1:44" x14ac:dyDescent="0.25">
      <c r="A410" s="4" t="s">
        <v>264</v>
      </c>
      <c r="B410" s="4" t="s">
        <v>69</v>
      </c>
      <c r="C410" s="5" t="s">
        <v>70</v>
      </c>
      <c r="D410" s="151">
        <v>1698</v>
      </c>
      <c r="E410" s="153">
        <v>1780</v>
      </c>
      <c r="F410" s="151"/>
      <c r="G410" s="153"/>
      <c r="H410" s="151"/>
      <c r="I410" s="153"/>
      <c r="J410" s="151"/>
      <c r="K410" s="153"/>
      <c r="L410" s="151"/>
      <c r="M410" s="153"/>
      <c r="N410" s="151"/>
      <c r="O410" s="153"/>
      <c r="P410" s="151"/>
      <c r="Q410" s="153"/>
      <c r="R410" s="151">
        <v>40</v>
      </c>
      <c r="S410" s="153">
        <v>40</v>
      </c>
      <c r="T410" s="151"/>
      <c r="U410" s="153"/>
      <c r="V410" s="151"/>
      <c r="W410" s="153"/>
      <c r="X410" s="151"/>
      <c r="Y410" s="153"/>
      <c r="Z410" s="61">
        <f t="shared" si="69"/>
        <v>1738</v>
      </c>
      <c r="AA410" s="75">
        <f t="shared" si="70"/>
        <v>1820</v>
      </c>
      <c r="AB410" s="151"/>
      <c r="AC410" s="153"/>
      <c r="AD410" s="151">
        <v>120</v>
      </c>
      <c r="AE410" s="153">
        <v>120</v>
      </c>
      <c r="AF410" s="151">
        <v>800</v>
      </c>
      <c r="AG410" s="153">
        <v>800</v>
      </c>
      <c r="AH410" s="151"/>
      <c r="AI410" s="153"/>
      <c r="AJ410" s="151"/>
      <c r="AK410" s="153"/>
      <c r="AL410" s="151"/>
      <c r="AM410" s="153"/>
      <c r="AN410" s="151"/>
      <c r="AO410" s="153"/>
      <c r="AP410" s="61">
        <f t="shared" si="71"/>
        <v>2658</v>
      </c>
      <c r="AQ410" s="75">
        <f t="shared" si="72"/>
        <v>2740</v>
      </c>
      <c r="AR410" s="150" t="s">
        <v>71</v>
      </c>
    </row>
    <row r="411" spans="1:44" x14ac:dyDescent="0.25">
      <c r="A411" s="4" t="s">
        <v>264</v>
      </c>
      <c r="B411" s="4" t="s">
        <v>97</v>
      </c>
      <c r="C411" s="5" t="s">
        <v>96</v>
      </c>
      <c r="D411" s="151"/>
      <c r="E411" s="153"/>
      <c r="F411" s="151"/>
      <c r="G411" s="153"/>
      <c r="H411" s="151"/>
      <c r="I411" s="153"/>
      <c r="J411" s="151"/>
      <c r="K411" s="153"/>
      <c r="L411" s="151"/>
      <c r="M411" s="153"/>
      <c r="N411" s="151"/>
      <c r="O411" s="153"/>
      <c r="P411" s="151"/>
      <c r="Q411" s="153"/>
      <c r="R411" s="151"/>
      <c r="S411" s="153"/>
      <c r="T411" s="151"/>
      <c r="U411" s="153"/>
      <c r="V411" s="151">
        <v>5184</v>
      </c>
      <c r="W411" s="153">
        <v>5184</v>
      </c>
      <c r="X411" s="151"/>
      <c r="Y411" s="153"/>
      <c r="Z411" s="61">
        <f t="shared" si="69"/>
        <v>5184</v>
      </c>
      <c r="AA411" s="75">
        <f t="shared" si="70"/>
        <v>5184</v>
      </c>
      <c r="AB411" s="151"/>
      <c r="AC411" s="153"/>
      <c r="AD411" s="151"/>
      <c r="AE411" s="153"/>
      <c r="AF411" s="151"/>
      <c r="AG411" s="153"/>
      <c r="AH411" s="151"/>
      <c r="AI411" s="153"/>
      <c r="AJ411" s="151"/>
      <c r="AK411" s="153"/>
      <c r="AL411" s="151"/>
      <c r="AM411" s="153"/>
      <c r="AN411" s="151"/>
      <c r="AO411" s="153"/>
      <c r="AP411" s="61">
        <f t="shared" si="71"/>
        <v>5184</v>
      </c>
      <c r="AQ411" s="75">
        <f t="shared" si="72"/>
        <v>5184</v>
      </c>
      <c r="AR411" s="150" t="s">
        <v>80</v>
      </c>
    </row>
    <row r="412" spans="1:44" x14ac:dyDescent="0.25">
      <c r="A412" s="4" t="s">
        <v>264</v>
      </c>
      <c r="B412" s="4" t="s">
        <v>91</v>
      </c>
      <c r="C412" s="5" t="s">
        <v>86</v>
      </c>
      <c r="D412" s="151">
        <v>43728</v>
      </c>
      <c r="E412" s="153">
        <v>41280</v>
      </c>
      <c r="F412" s="151"/>
      <c r="G412" s="153"/>
      <c r="H412" s="151"/>
      <c r="I412" s="153"/>
      <c r="J412" s="151"/>
      <c r="K412" s="153"/>
      <c r="L412" s="151"/>
      <c r="M412" s="153"/>
      <c r="N412" s="151"/>
      <c r="O412" s="153"/>
      <c r="P412" s="151"/>
      <c r="Q412" s="153"/>
      <c r="R412" s="151"/>
      <c r="S412" s="153"/>
      <c r="T412" s="151"/>
      <c r="U412" s="153"/>
      <c r="V412" s="151"/>
      <c r="W412" s="153"/>
      <c r="X412" s="151"/>
      <c r="Y412" s="153"/>
      <c r="Z412" s="61">
        <f t="shared" si="69"/>
        <v>43728</v>
      </c>
      <c r="AA412" s="75">
        <f t="shared" si="70"/>
        <v>41280</v>
      </c>
      <c r="AB412" s="151"/>
      <c r="AC412" s="153"/>
      <c r="AD412" s="151"/>
      <c r="AE412" s="153"/>
      <c r="AF412" s="151"/>
      <c r="AG412" s="153"/>
      <c r="AH412" s="151"/>
      <c r="AI412" s="153"/>
      <c r="AJ412" s="151"/>
      <c r="AK412" s="153"/>
      <c r="AL412" s="151"/>
      <c r="AM412" s="153"/>
      <c r="AN412" s="151"/>
      <c r="AO412" s="153"/>
      <c r="AP412" s="61">
        <f t="shared" si="71"/>
        <v>43728</v>
      </c>
      <c r="AQ412" s="75">
        <f t="shared" si="72"/>
        <v>41280</v>
      </c>
      <c r="AR412" s="150" t="s">
        <v>80</v>
      </c>
    </row>
    <row r="413" spans="1:44" ht="26.25" x14ac:dyDescent="0.25">
      <c r="A413" s="4" t="s">
        <v>264</v>
      </c>
      <c r="B413" s="4" t="s">
        <v>92</v>
      </c>
      <c r="C413" s="5" t="s">
        <v>93</v>
      </c>
      <c r="D413" s="151">
        <v>4080</v>
      </c>
      <c r="E413" s="153">
        <v>2414</v>
      </c>
      <c r="F413" s="151"/>
      <c r="G413" s="153"/>
      <c r="H413" s="151"/>
      <c r="I413" s="153"/>
      <c r="J413" s="151"/>
      <c r="K413" s="153"/>
      <c r="L413" s="151"/>
      <c r="M413" s="153"/>
      <c r="N413" s="151"/>
      <c r="O413" s="153"/>
      <c r="P413" s="151"/>
      <c r="Q413" s="153"/>
      <c r="R413" s="151"/>
      <c r="S413" s="153"/>
      <c r="T413" s="151"/>
      <c r="U413" s="153"/>
      <c r="V413" s="151"/>
      <c r="W413" s="153"/>
      <c r="X413" s="151"/>
      <c r="Y413" s="153"/>
      <c r="Z413" s="61">
        <f t="shared" si="69"/>
        <v>4080</v>
      </c>
      <c r="AA413" s="75">
        <f t="shared" si="70"/>
        <v>2414</v>
      </c>
      <c r="AB413" s="151"/>
      <c r="AC413" s="153"/>
      <c r="AD413" s="151"/>
      <c r="AE413" s="153"/>
      <c r="AF413" s="151"/>
      <c r="AG413" s="153"/>
      <c r="AH413" s="151"/>
      <c r="AI413" s="153"/>
      <c r="AJ413" s="151"/>
      <c r="AK413" s="153"/>
      <c r="AL413" s="151"/>
      <c r="AM413" s="153"/>
      <c r="AN413" s="151"/>
      <c r="AO413" s="153"/>
      <c r="AP413" s="61">
        <f t="shared" si="71"/>
        <v>4080</v>
      </c>
      <c r="AQ413" s="75">
        <f t="shared" si="72"/>
        <v>2414</v>
      </c>
      <c r="AR413" s="150" t="s">
        <v>80</v>
      </c>
    </row>
    <row r="414" spans="1:44" ht="26.25" x14ac:dyDescent="0.25">
      <c r="A414" s="4" t="s">
        <v>264</v>
      </c>
      <c r="B414" s="4" t="s">
        <v>84</v>
      </c>
      <c r="C414" s="5" t="s">
        <v>82</v>
      </c>
      <c r="D414" s="151">
        <v>6888</v>
      </c>
      <c r="E414" s="153">
        <v>8872</v>
      </c>
      <c r="F414" s="151"/>
      <c r="G414" s="153"/>
      <c r="H414" s="151"/>
      <c r="I414" s="153"/>
      <c r="J414" s="151"/>
      <c r="K414" s="153"/>
      <c r="L414" s="151"/>
      <c r="M414" s="153"/>
      <c r="N414" s="151"/>
      <c r="O414" s="153"/>
      <c r="P414" s="151"/>
      <c r="Q414" s="153"/>
      <c r="R414" s="151"/>
      <c r="S414" s="153"/>
      <c r="T414" s="151"/>
      <c r="U414" s="153"/>
      <c r="V414" s="151"/>
      <c r="W414" s="153"/>
      <c r="X414" s="151"/>
      <c r="Y414" s="153"/>
      <c r="Z414" s="61">
        <f t="shared" si="69"/>
        <v>6888</v>
      </c>
      <c r="AA414" s="75">
        <f t="shared" si="70"/>
        <v>8872</v>
      </c>
      <c r="AB414" s="151"/>
      <c r="AC414" s="153"/>
      <c r="AD414" s="151"/>
      <c r="AE414" s="153"/>
      <c r="AF414" s="151"/>
      <c r="AG414" s="153"/>
      <c r="AH414" s="151"/>
      <c r="AI414" s="153"/>
      <c r="AJ414" s="151"/>
      <c r="AK414" s="153"/>
      <c r="AL414" s="151"/>
      <c r="AM414" s="153"/>
      <c r="AN414" s="151"/>
      <c r="AO414" s="153"/>
      <c r="AP414" s="61">
        <f t="shared" si="71"/>
        <v>6888</v>
      </c>
      <c r="AQ414" s="75">
        <f t="shared" si="72"/>
        <v>8872</v>
      </c>
      <c r="AR414" s="150" t="s">
        <v>80</v>
      </c>
    </row>
    <row r="415" spans="1:44" ht="30" x14ac:dyDescent="0.25">
      <c r="A415" s="4" t="s">
        <v>264</v>
      </c>
      <c r="B415" s="4" t="s">
        <v>100</v>
      </c>
      <c r="C415" s="5" t="s">
        <v>101</v>
      </c>
      <c r="D415" s="151"/>
      <c r="E415" s="153"/>
      <c r="F415" s="151"/>
      <c r="G415" s="153"/>
      <c r="H415" s="151"/>
      <c r="I415" s="153"/>
      <c r="J415" s="151"/>
      <c r="K415" s="153"/>
      <c r="L415" s="151"/>
      <c r="M415" s="153"/>
      <c r="N415" s="151"/>
      <c r="O415" s="153"/>
      <c r="P415" s="151"/>
      <c r="Q415" s="153"/>
      <c r="R415" s="151"/>
      <c r="S415" s="153"/>
      <c r="T415" s="151"/>
      <c r="U415" s="153"/>
      <c r="V415" s="151"/>
      <c r="W415" s="153"/>
      <c r="X415" s="151"/>
      <c r="Y415" s="153"/>
      <c r="Z415" s="61">
        <f t="shared" si="69"/>
        <v>0</v>
      </c>
      <c r="AA415" s="75">
        <f t="shared" si="70"/>
        <v>0</v>
      </c>
      <c r="AB415" s="151"/>
      <c r="AC415" s="153"/>
      <c r="AD415" s="151"/>
      <c r="AE415" s="153"/>
      <c r="AF415" s="151"/>
      <c r="AG415" s="153"/>
      <c r="AH415" s="151"/>
      <c r="AI415" s="153"/>
      <c r="AJ415" s="151"/>
      <c r="AK415" s="153"/>
      <c r="AL415" s="151">
        <v>5338</v>
      </c>
      <c r="AM415" s="153">
        <v>5338</v>
      </c>
      <c r="AN415" s="151"/>
      <c r="AO415" s="153"/>
      <c r="AP415" s="61">
        <f t="shared" si="71"/>
        <v>5338</v>
      </c>
      <c r="AQ415" s="75">
        <f t="shared" si="72"/>
        <v>5338</v>
      </c>
      <c r="AR415" s="150" t="s">
        <v>102</v>
      </c>
    </row>
    <row r="416" spans="1:44" x14ac:dyDescent="0.25">
      <c r="A416" s="4" t="s">
        <v>264</v>
      </c>
      <c r="B416" s="4" t="s">
        <v>105</v>
      </c>
      <c r="C416" s="5"/>
      <c r="D416" s="151">
        <v>5096</v>
      </c>
      <c r="E416" s="153">
        <v>5719</v>
      </c>
      <c r="F416" s="151"/>
      <c r="G416" s="153"/>
      <c r="H416" s="151"/>
      <c r="I416" s="153"/>
      <c r="J416" s="151"/>
      <c r="K416" s="153"/>
      <c r="L416" s="151"/>
      <c r="M416" s="153"/>
      <c r="N416" s="151"/>
      <c r="O416" s="153"/>
      <c r="P416" s="151"/>
      <c r="Q416" s="153"/>
      <c r="R416" s="151"/>
      <c r="S416" s="153"/>
      <c r="T416" s="151"/>
      <c r="U416" s="153"/>
      <c r="V416" s="151"/>
      <c r="W416" s="153"/>
      <c r="X416" s="151"/>
      <c r="Y416" s="153"/>
      <c r="Z416" s="61">
        <f t="shared" si="69"/>
        <v>5096</v>
      </c>
      <c r="AA416" s="75">
        <f t="shared" si="70"/>
        <v>5719</v>
      </c>
      <c r="AB416" s="151"/>
      <c r="AC416" s="153"/>
      <c r="AD416" s="151"/>
      <c r="AE416" s="153"/>
      <c r="AF416" s="151"/>
      <c r="AG416" s="153"/>
      <c r="AH416" s="151"/>
      <c r="AI416" s="153"/>
      <c r="AJ416" s="151"/>
      <c r="AK416" s="153"/>
      <c r="AL416" s="151"/>
      <c r="AM416" s="153"/>
      <c r="AN416" s="151"/>
      <c r="AO416" s="153"/>
      <c r="AP416" s="61">
        <f t="shared" si="71"/>
        <v>5096</v>
      </c>
      <c r="AQ416" s="75">
        <f t="shared" si="72"/>
        <v>5719</v>
      </c>
      <c r="AR416" s="150" t="s">
        <v>58</v>
      </c>
    </row>
    <row r="417" spans="1:44" x14ac:dyDescent="0.25">
      <c r="A417" s="4" t="s">
        <v>264</v>
      </c>
      <c r="B417" s="4" t="s">
        <v>106</v>
      </c>
      <c r="C417" s="5"/>
      <c r="D417" s="151">
        <v>4087</v>
      </c>
      <c r="E417" s="153">
        <v>4746</v>
      </c>
      <c r="F417" s="151"/>
      <c r="G417" s="153"/>
      <c r="H417" s="151"/>
      <c r="I417" s="153"/>
      <c r="J417" s="151"/>
      <c r="K417" s="153"/>
      <c r="L417" s="151"/>
      <c r="M417" s="153"/>
      <c r="N417" s="151"/>
      <c r="O417" s="153"/>
      <c r="P417" s="151"/>
      <c r="Q417" s="153"/>
      <c r="R417" s="151"/>
      <c r="S417" s="153"/>
      <c r="T417" s="151"/>
      <c r="U417" s="153"/>
      <c r="V417" s="151"/>
      <c r="W417" s="153"/>
      <c r="X417" s="151"/>
      <c r="Y417" s="153"/>
      <c r="Z417" s="61">
        <f t="shared" si="69"/>
        <v>4087</v>
      </c>
      <c r="AA417" s="75">
        <f t="shared" si="70"/>
        <v>4746</v>
      </c>
      <c r="AB417" s="151"/>
      <c r="AC417" s="153"/>
      <c r="AD417" s="151"/>
      <c r="AE417" s="153"/>
      <c r="AF417" s="151"/>
      <c r="AG417" s="153"/>
      <c r="AH417" s="151"/>
      <c r="AI417" s="153"/>
      <c r="AJ417" s="151"/>
      <c r="AK417" s="153"/>
      <c r="AL417" s="151"/>
      <c r="AM417" s="153"/>
      <c r="AN417" s="151"/>
      <c r="AO417" s="153"/>
      <c r="AP417" s="61">
        <f t="shared" si="71"/>
        <v>4087</v>
      </c>
      <c r="AQ417" s="75">
        <f t="shared" si="72"/>
        <v>4746</v>
      </c>
      <c r="AR417" s="150" t="s">
        <v>58</v>
      </c>
    </row>
    <row r="418" spans="1:44" x14ac:dyDescent="0.25">
      <c r="A418" s="16" t="s">
        <v>269</v>
      </c>
      <c r="B418" s="16" t="s">
        <v>108</v>
      </c>
      <c r="C418" s="17"/>
      <c r="D418" s="18">
        <f t="shared" ref="D418:AQ418" si="73">SUM(D391:D417)</f>
        <v>304417</v>
      </c>
      <c r="E418" s="105">
        <f t="shared" si="73"/>
        <v>332281</v>
      </c>
      <c r="F418" s="18">
        <f t="shared" si="73"/>
        <v>3234</v>
      </c>
      <c r="G418" s="18">
        <f t="shared" si="73"/>
        <v>2896</v>
      </c>
      <c r="H418" s="18">
        <f t="shared" si="73"/>
        <v>27382</v>
      </c>
      <c r="I418" s="18">
        <f t="shared" si="73"/>
        <v>27382</v>
      </c>
      <c r="J418" s="18">
        <f t="shared" si="73"/>
        <v>2912</v>
      </c>
      <c r="K418" s="18">
        <f t="shared" si="73"/>
        <v>2912</v>
      </c>
      <c r="L418" s="18">
        <f t="shared" si="73"/>
        <v>15233</v>
      </c>
      <c r="M418" s="18">
        <f t="shared" si="73"/>
        <v>14573</v>
      </c>
      <c r="N418" s="18">
        <f t="shared" si="73"/>
        <v>1120</v>
      </c>
      <c r="O418" s="18">
        <f t="shared" si="73"/>
        <v>955</v>
      </c>
      <c r="P418" s="18">
        <f t="shared" si="73"/>
        <v>688</v>
      </c>
      <c r="Q418" s="18">
        <f t="shared" si="73"/>
        <v>688</v>
      </c>
      <c r="R418" s="18">
        <f t="shared" si="73"/>
        <v>7231</v>
      </c>
      <c r="S418" s="18">
        <f t="shared" si="73"/>
        <v>6568</v>
      </c>
      <c r="T418" s="18">
        <f t="shared" si="73"/>
        <v>9276</v>
      </c>
      <c r="U418" s="18">
        <f t="shared" si="73"/>
        <v>8484</v>
      </c>
      <c r="V418" s="18">
        <f t="shared" si="73"/>
        <v>5184</v>
      </c>
      <c r="W418" s="18">
        <f t="shared" si="73"/>
        <v>5184</v>
      </c>
      <c r="X418" s="18">
        <f t="shared" si="73"/>
        <v>218</v>
      </c>
      <c r="Y418" s="18">
        <f t="shared" si="73"/>
        <v>218</v>
      </c>
      <c r="Z418" s="18">
        <f t="shared" si="73"/>
        <v>376895</v>
      </c>
      <c r="AA418" s="18">
        <f t="shared" si="73"/>
        <v>402141</v>
      </c>
      <c r="AB418" s="18">
        <f t="shared" si="73"/>
        <v>525</v>
      </c>
      <c r="AC418" s="18">
        <f t="shared" si="73"/>
        <v>415</v>
      </c>
      <c r="AD418" s="18">
        <f t="shared" si="73"/>
        <v>50959</v>
      </c>
      <c r="AE418" s="18">
        <f t="shared" si="73"/>
        <v>50365</v>
      </c>
      <c r="AF418" s="18">
        <f t="shared" si="73"/>
        <v>25420</v>
      </c>
      <c r="AG418" s="18">
        <f t="shared" si="73"/>
        <v>23670</v>
      </c>
      <c r="AH418" s="18">
        <f t="shared" si="73"/>
        <v>1215</v>
      </c>
      <c r="AI418" s="18">
        <f t="shared" si="73"/>
        <v>1178</v>
      </c>
      <c r="AJ418" s="18">
        <f t="shared" si="73"/>
        <v>0</v>
      </c>
      <c r="AK418" s="18">
        <f t="shared" si="73"/>
        <v>0</v>
      </c>
      <c r="AL418" s="18">
        <f t="shared" si="73"/>
        <v>5338</v>
      </c>
      <c r="AM418" s="18">
        <f t="shared" si="73"/>
        <v>5338</v>
      </c>
      <c r="AN418" s="18">
        <f t="shared" si="73"/>
        <v>0</v>
      </c>
      <c r="AO418" s="18">
        <f t="shared" si="73"/>
        <v>0</v>
      </c>
      <c r="AP418" s="18">
        <f t="shared" si="73"/>
        <v>460352</v>
      </c>
      <c r="AQ418" s="18">
        <f t="shared" si="73"/>
        <v>483107</v>
      </c>
      <c r="AR418" s="43"/>
    </row>
    <row r="419" spans="1:44" ht="15.75" x14ac:dyDescent="0.25">
      <c r="A419" s="19"/>
      <c r="B419" s="19" t="s">
        <v>270</v>
      </c>
      <c r="C419" s="19"/>
      <c r="D419" s="19">
        <f t="shared" ref="D419:AQ419" si="74">D37+D70+D96+D128+D166+D193+D229+D261+D287+D306+D337+D367+D390+D418</f>
        <v>6796668</v>
      </c>
      <c r="E419" s="19">
        <f t="shared" si="74"/>
        <v>7399371</v>
      </c>
      <c r="F419" s="19">
        <f t="shared" si="74"/>
        <v>48397</v>
      </c>
      <c r="G419" s="19">
        <f t="shared" si="74"/>
        <v>43943</v>
      </c>
      <c r="H419" s="19">
        <f t="shared" si="74"/>
        <v>316866</v>
      </c>
      <c r="I419" s="19">
        <f t="shared" si="74"/>
        <v>354231</v>
      </c>
      <c r="J419" s="19">
        <f t="shared" si="74"/>
        <v>70103</v>
      </c>
      <c r="K419" s="19">
        <f t="shared" si="74"/>
        <v>73216</v>
      </c>
      <c r="L419" s="19">
        <f t="shared" si="74"/>
        <v>292276</v>
      </c>
      <c r="M419" s="19">
        <f t="shared" si="74"/>
        <v>285295</v>
      </c>
      <c r="N419" s="19">
        <f t="shared" si="74"/>
        <v>46797</v>
      </c>
      <c r="O419" s="19">
        <f t="shared" si="74"/>
        <v>47775</v>
      </c>
      <c r="P419" s="19">
        <f t="shared" si="74"/>
        <v>188665</v>
      </c>
      <c r="Q419" s="19">
        <f t="shared" si="74"/>
        <v>157824</v>
      </c>
      <c r="R419" s="19">
        <f t="shared" si="74"/>
        <v>238611</v>
      </c>
      <c r="S419" s="19">
        <f t="shared" si="74"/>
        <v>224728</v>
      </c>
      <c r="T419" s="19">
        <f t="shared" si="74"/>
        <v>367964</v>
      </c>
      <c r="U419" s="19">
        <f t="shared" si="74"/>
        <v>371452</v>
      </c>
      <c r="V419" s="19">
        <f t="shared" si="74"/>
        <v>185593</v>
      </c>
      <c r="W419" s="19">
        <f t="shared" si="74"/>
        <v>172563</v>
      </c>
      <c r="X419" s="19">
        <f t="shared" si="74"/>
        <v>1361</v>
      </c>
      <c r="Y419" s="19">
        <f t="shared" si="74"/>
        <v>1108</v>
      </c>
      <c r="Z419" s="19">
        <f t="shared" si="74"/>
        <v>8553301</v>
      </c>
      <c r="AA419" s="19">
        <f t="shared" si="74"/>
        <v>9131506</v>
      </c>
      <c r="AB419" s="19">
        <f t="shared" si="74"/>
        <v>4980</v>
      </c>
      <c r="AC419" s="19">
        <f t="shared" si="74"/>
        <v>2795</v>
      </c>
      <c r="AD419" s="19">
        <f t="shared" si="74"/>
        <v>1275670</v>
      </c>
      <c r="AE419" s="19">
        <f t="shared" si="74"/>
        <v>1153679</v>
      </c>
      <c r="AF419" s="19">
        <f t="shared" si="74"/>
        <v>601579</v>
      </c>
      <c r="AG419" s="19">
        <f t="shared" si="74"/>
        <v>657489</v>
      </c>
      <c r="AH419" s="19">
        <f t="shared" si="74"/>
        <v>33031</v>
      </c>
      <c r="AI419" s="19">
        <f t="shared" si="74"/>
        <v>32527</v>
      </c>
      <c r="AJ419" s="19">
        <f t="shared" si="74"/>
        <v>0</v>
      </c>
      <c r="AK419" s="19">
        <f t="shared" si="74"/>
        <v>0</v>
      </c>
      <c r="AL419" s="19">
        <f t="shared" si="74"/>
        <v>168731</v>
      </c>
      <c r="AM419" s="19">
        <f t="shared" si="74"/>
        <v>165815</v>
      </c>
      <c r="AN419" s="19">
        <f t="shared" si="74"/>
        <v>2297</v>
      </c>
      <c r="AO419" s="19">
        <f t="shared" si="74"/>
        <v>3326</v>
      </c>
      <c r="AP419" s="19">
        <f t="shared" si="74"/>
        <v>10639589</v>
      </c>
      <c r="AQ419" s="19">
        <f t="shared" si="74"/>
        <v>11147137</v>
      </c>
      <c r="AR419" s="150"/>
    </row>
    <row r="420" spans="1:44" x14ac:dyDescent="0.25">
      <c r="A420" s="4" t="s">
        <v>271</v>
      </c>
      <c r="B420" s="4" t="s">
        <v>272</v>
      </c>
      <c r="C420" s="5" t="s">
        <v>82</v>
      </c>
      <c r="D420" s="151">
        <v>64462</v>
      </c>
      <c r="E420" s="153">
        <v>75059</v>
      </c>
      <c r="F420" s="151">
        <v>550</v>
      </c>
      <c r="G420" s="153">
        <v>900</v>
      </c>
      <c r="H420" s="151">
        <v>6700</v>
      </c>
      <c r="I420" s="153">
        <v>6700</v>
      </c>
      <c r="J420" s="151">
        <v>2388</v>
      </c>
      <c r="K420" s="153">
        <v>2300</v>
      </c>
      <c r="L420" s="151">
        <v>4100</v>
      </c>
      <c r="M420" s="153">
        <v>4100</v>
      </c>
      <c r="N420" s="151">
        <v>280</v>
      </c>
      <c r="O420" s="153">
        <v>280</v>
      </c>
      <c r="P420" s="151">
        <v>880</v>
      </c>
      <c r="Q420" s="153">
        <v>880</v>
      </c>
      <c r="R420" s="151">
        <v>530</v>
      </c>
      <c r="S420" s="153">
        <v>500</v>
      </c>
      <c r="T420" s="151">
        <v>17592</v>
      </c>
      <c r="U420" s="153">
        <v>16511</v>
      </c>
      <c r="V420" s="151"/>
      <c r="W420" s="153"/>
      <c r="X420" s="151"/>
      <c r="Y420" s="153"/>
      <c r="Z420" s="61">
        <f t="shared" ref="Z420:Z451" si="75">D420+F420+H420+J420+L420+P420+R420+T420+V420+X420+N420</f>
        <v>97482</v>
      </c>
      <c r="AA420" s="75">
        <f t="shared" ref="AA420:AA451" si="76">E420+G420+I420+K420+M420+Q420+S420+U420+W420+Y420+O420</f>
        <v>107230</v>
      </c>
      <c r="AB420" s="151"/>
      <c r="AC420" s="153"/>
      <c r="AD420" s="151">
        <v>3400</v>
      </c>
      <c r="AE420" s="153">
        <v>3000</v>
      </c>
      <c r="AF420" s="151">
        <v>3100</v>
      </c>
      <c r="AG420" s="153">
        <v>2800</v>
      </c>
      <c r="AH420" s="151"/>
      <c r="AI420" s="153"/>
      <c r="AJ420" s="151"/>
      <c r="AK420" s="153"/>
      <c r="AL420" s="151"/>
      <c r="AM420" s="153"/>
      <c r="AN420" s="151"/>
      <c r="AO420" s="153"/>
      <c r="AP420" s="61">
        <f t="shared" ref="AP420:AP451" si="77">Z420+AB420+AD420+AF420+AH420+AJ420+AL420+AN420</f>
        <v>103982</v>
      </c>
      <c r="AQ420" s="75">
        <f t="shared" ref="AQ420:AQ451" si="78">AA420+AC420+AE420+AG420+AI420+AK420+AM420+AO420</f>
        <v>113030</v>
      </c>
      <c r="AR420" s="150" t="s">
        <v>128</v>
      </c>
    </row>
    <row r="421" spans="1:44" ht="26.25" x14ac:dyDescent="0.25">
      <c r="A421" s="4" t="s">
        <v>271</v>
      </c>
      <c r="B421" s="4" t="s">
        <v>273</v>
      </c>
      <c r="C421" s="5" t="s">
        <v>82</v>
      </c>
      <c r="D421" s="151">
        <f>71615+1482</f>
        <v>73097</v>
      </c>
      <c r="E421" s="153">
        <v>76853</v>
      </c>
      <c r="F421" s="151"/>
      <c r="G421" s="153"/>
      <c r="H421" s="151"/>
      <c r="I421" s="153"/>
      <c r="J421" s="151"/>
      <c r="K421" s="153"/>
      <c r="L421" s="151"/>
      <c r="M421" s="153"/>
      <c r="N421" s="151"/>
      <c r="O421" s="153"/>
      <c r="P421" s="151"/>
      <c r="Q421" s="153"/>
      <c r="R421" s="151"/>
      <c r="S421" s="153"/>
      <c r="T421" s="151"/>
      <c r="U421" s="153"/>
      <c r="V421" s="151"/>
      <c r="W421" s="153"/>
      <c r="X421" s="151"/>
      <c r="Y421" s="153"/>
      <c r="Z421" s="61">
        <f t="shared" si="75"/>
        <v>73097</v>
      </c>
      <c r="AA421" s="75">
        <f t="shared" si="76"/>
        <v>76853</v>
      </c>
      <c r="AB421" s="151"/>
      <c r="AC421" s="153"/>
      <c r="AD421" s="151"/>
      <c r="AE421" s="153"/>
      <c r="AF421" s="151"/>
      <c r="AG421" s="153"/>
      <c r="AH421" s="151"/>
      <c r="AI421" s="153"/>
      <c r="AJ421" s="151"/>
      <c r="AK421" s="153"/>
      <c r="AL421" s="151"/>
      <c r="AM421" s="153"/>
      <c r="AN421" s="151"/>
      <c r="AO421" s="153"/>
      <c r="AP421" s="61">
        <f t="shared" si="77"/>
        <v>73097</v>
      </c>
      <c r="AQ421" s="75">
        <f t="shared" si="78"/>
        <v>76853</v>
      </c>
      <c r="AR421" s="150" t="s">
        <v>128</v>
      </c>
    </row>
    <row r="422" spans="1:44" ht="40.5" customHeight="1" x14ac:dyDescent="0.25">
      <c r="A422" s="4" t="s">
        <v>271</v>
      </c>
      <c r="B422" s="4" t="s">
        <v>274</v>
      </c>
      <c r="C422" s="5" t="s">
        <v>82</v>
      </c>
      <c r="D422" s="151">
        <v>30664</v>
      </c>
      <c r="E422" s="153">
        <v>30296</v>
      </c>
      <c r="F422" s="151"/>
      <c r="G422" s="153"/>
      <c r="H422" s="151"/>
      <c r="I422" s="153"/>
      <c r="J422" s="151"/>
      <c r="K422" s="153"/>
      <c r="L422" s="151"/>
      <c r="M422" s="153"/>
      <c r="N422" s="151"/>
      <c r="O422" s="153"/>
      <c r="P422" s="151"/>
      <c r="Q422" s="153"/>
      <c r="R422" s="151"/>
      <c r="S422" s="153"/>
      <c r="T422" s="151"/>
      <c r="U422" s="153"/>
      <c r="V422" s="151"/>
      <c r="W422" s="153"/>
      <c r="X422" s="151"/>
      <c r="Y422" s="153"/>
      <c r="Z422" s="61">
        <f t="shared" si="75"/>
        <v>30664</v>
      </c>
      <c r="AA422" s="75">
        <f t="shared" si="76"/>
        <v>30296</v>
      </c>
      <c r="AB422" s="151"/>
      <c r="AC422" s="153"/>
      <c r="AD422" s="151"/>
      <c r="AE422" s="153"/>
      <c r="AF422" s="151"/>
      <c r="AG422" s="153"/>
      <c r="AH422" s="151"/>
      <c r="AI422" s="153"/>
      <c r="AJ422" s="151"/>
      <c r="AK422" s="153"/>
      <c r="AL422" s="151"/>
      <c r="AM422" s="153"/>
      <c r="AN422" s="151"/>
      <c r="AO422" s="153"/>
      <c r="AP422" s="61">
        <f t="shared" si="77"/>
        <v>30664</v>
      </c>
      <c r="AQ422" s="75">
        <f t="shared" si="78"/>
        <v>30296</v>
      </c>
      <c r="AR422" s="150" t="s">
        <v>128</v>
      </c>
    </row>
    <row r="423" spans="1:44" ht="26.25" x14ac:dyDescent="0.25">
      <c r="A423" s="4" t="s">
        <v>271</v>
      </c>
      <c r="B423" s="4" t="s">
        <v>275</v>
      </c>
      <c r="C423" s="5" t="s">
        <v>93</v>
      </c>
      <c r="D423" s="151">
        <v>1272</v>
      </c>
      <c r="E423" s="153">
        <v>1610</v>
      </c>
      <c r="F423" s="151"/>
      <c r="G423" s="153"/>
      <c r="H423" s="151"/>
      <c r="I423" s="153"/>
      <c r="J423" s="151"/>
      <c r="K423" s="153"/>
      <c r="L423" s="151"/>
      <c r="M423" s="153"/>
      <c r="N423" s="151"/>
      <c r="O423" s="153"/>
      <c r="P423" s="151"/>
      <c r="Q423" s="153"/>
      <c r="R423" s="151"/>
      <c r="S423" s="153"/>
      <c r="T423" s="151"/>
      <c r="U423" s="153"/>
      <c r="V423" s="151"/>
      <c r="W423" s="153"/>
      <c r="X423" s="151"/>
      <c r="Y423" s="153"/>
      <c r="Z423" s="61">
        <f t="shared" si="75"/>
        <v>1272</v>
      </c>
      <c r="AA423" s="75">
        <f t="shared" si="76"/>
        <v>1610</v>
      </c>
      <c r="AB423" s="151"/>
      <c r="AC423" s="153"/>
      <c r="AD423" s="151"/>
      <c r="AE423" s="153"/>
      <c r="AF423" s="151"/>
      <c r="AG423" s="153"/>
      <c r="AH423" s="151"/>
      <c r="AI423" s="153"/>
      <c r="AJ423" s="151"/>
      <c r="AK423" s="153"/>
      <c r="AL423" s="151"/>
      <c r="AM423" s="153"/>
      <c r="AN423" s="151"/>
      <c r="AO423" s="153"/>
      <c r="AP423" s="61">
        <f t="shared" si="77"/>
        <v>1272</v>
      </c>
      <c r="AQ423" s="75">
        <f t="shared" si="78"/>
        <v>1610</v>
      </c>
      <c r="AR423" s="150" t="s">
        <v>128</v>
      </c>
    </row>
    <row r="424" spans="1:44" x14ac:dyDescent="0.25">
      <c r="A424" s="4" t="s">
        <v>271</v>
      </c>
      <c r="B424" s="4" t="s">
        <v>276</v>
      </c>
      <c r="C424" s="5" t="s">
        <v>82</v>
      </c>
      <c r="D424" s="151">
        <v>122834</v>
      </c>
      <c r="E424" s="153">
        <v>144304</v>
      </c>
      <c r="F424" s="151">
        <v>600</v>
      </c>
      <c r="G424" s="153">
        <v>970</v>
      </c>
      <c r="H424" s="151">
        <v>21800</v>
      </c>
      <c r="I424" s="153">
        <v>21800</v>
      </c>
      <c r="J424" s="151">
        <v>8900</v>
      </c>
      <c r="K424" s="153">
        <v>8000</v>
      </c>
      <c r="L424" s="151">
        <v>9000</v>
      </c>
      <c r="M424" s="153">
        <v>9000</v>
      </c>
      <c r="N424" s="151">
        <v>1170</v>
      </c>
      <c r="O424" s="153">
        <v>1100</v>
      </c>
      <c r="P424" s="151"/>
      <c r="Q424" s="153"/>
      <c r="R424" s="151">
        <v>350</v>
      </c>
      <c r="S424" s="153">
        <v>350</v>
      </c>
      <c r="T424" s="151">
        <v>36879</v>
      </c>
      <c r="U424" s="153">
        <v>37034</v>
      </c>
      <c r="V424" s="151"/>
      <c r="W424" s="153"/>
      <c r="X424" s="151"/>
      <c r="Y424" s="153"/>
      <c r="Z424" s="61">
        <f t="shared" si="75"/>
        <v>201533</v>
      </c>
      <c r="AA424" s="75">
        <f t="shared" si="76"/>
        <v>222558</v>
      </c>
      <c r="AB424" s="151"/>
      <c r="AC424" s="153"/>
      <c r="AD424" s="151">
        <v>4680</v>
      </c>
      <c r="AE424" s="153">
        <v>4080</v>
      </c>
      <c r="AF424" s="151">
        <v>5623</v>
      </c>
      <c r="AG424" s="153">
        <v>5023</v>
      </c>
      <c r="AH424" s="151"/>
      <c r="AI424" s="153"/>
      <c r="AJ424" s="151"/>
      <c r="AK424" s="153"/>
      <c r="AL424" s="151"/>
      <c r="AM424" s="153"/>
      <c r="AN424" s="151"/>
      <c r="AO424" s="153"/>
      <c r="AP424" s="61">
        <f t="shared" si="77"/>
        <v>211836</v>
      </c>
      <c r="AQ424" s="75">
        <f t="shared" si="78"/>
        <v>231661</v>
      </c>
      <c r="AR424" s="150" t="s">
        <v>128</v>
      </c>
    </row>
    <row r="425" spans="1:44" ht="26.25" x14ac:dyDescent="0.25">
      <c r="A425" s="4" t="s">
        <v>271</v>
      </c>
      <c r="B425" s="4" t="s">
        <v>277</v>
      </c>
      <c r="C425" s="5" t="s">
        <v>82</v>
      </c>
      <c r="D425" s="151">
        <f>138862+3042</f>
        <v>141904</v>
      </c>
      <c r="E425" s="153">
        <v>148070</v>
      </c>
      <c r="F425" s="151"/>
      <c r="G425" s="153"/>
      <c r="H425" s="151"/>
      <c r="I425" s="153"/>
      <c r="J425" s="151"/>
      <c r="K425" s="153"/>
      <c r="L425" s="151"/>
      <c r="M425" s="153"/>
      <c r="N425" s="151"/>
      <c r="O425" s="153"/>
      <c r="P425" s="151"/>
      <c r="Q425" s="153"/>
      <c r="R425" s="151"/>
      <c r="S425" s="153"/>
      <c r="T425" s="151"/>
      <c r="U425" s="153"/>
      <c r="V425" s="151"/>
      <c r="W425" s="153"/>
      <c r="X425" s="151"/>
      <c r="Y425" s="153"/>
      <c r="Z425" s="61">
        <f t="shared" si="75"/>
        <v>141904</v>
      </c>
      <c r="AA425" s="75">
        <f t="shared" si="76"/>
        <v>148070</v>
      </c>
      <c r="AB425" s="151"/>
      <c r="AC425" s="153"/>
      <c r="AD425" s="151"/>
      <c r="AE425" s="153"/>
      <c r="AF425" s="151"/>
      <c r="AG425" s="153"/>
      <c r="AH425" s="151"/>
      <c r="AI425" s="153"/>
      <c r="AJ425" s="151"/>
      <c r="AK425" s="153"/>
      <c r="AL425" s="151"/>
      <c r="AM425" s="153"/>
      <c r="AN425" s="151"/>
      <c r="AO425" s="153"/>
      <c r="AP425" s="61">
        <f t="shared" si="77"/>
        <v>141904</v>
      </c>
      <c r="AQ425" s="75">
        <f t="shared" si="78"/>
        <v>148070</v>
      </c>
      <c r="AR425" s="150" t="s">
        <v>128</v>
      </c>
    </row>
    <row r="426" spans="1:44" ht="26.25" x14ac:dyDescent="0.25">
      <c r="A426" s="4" t="s">
        <v>271</v>
      </c>
      <c r="B426" s="4" t="s">
        <v>278</v>
      </c>
      <c r="C426" s="5" t="s">
        <v>82</v>
      </c>
      <c r="D426" s="151">
        <v>59456</v>
      </c>
      <c r="E426" s="153">
        <v>61264</v>
      </c>
      <c r="F426" s="151"/>
      <c r="G426" s="153"/>
      <c r="H426" s="151"/>
      <c r="I426" s="153"/>
      <c r="J426" s="151"/>
      <c r="K426" s="153"/>
      <c r="L426" s="151"/>
      <c r="M426" s="153"/>
      <c r="N426" s="151"/>
      <c r="O426" s="153"/>
      <c r="P426" s="151"/>
      <c r="Q426" s="153"/>
      <c r="R426" s="151"/>
      <c r="S426" s="153"/>
      <c r="T426" s="151"/>
      <c r="U426" s="153"/>
      <c r="V426" s="151"/>
      <c r="W426" s="153"/>
      <c r="X426" s="151"/>
      <c r="Y426" s="153"/>
      <c r="Z426" s="61">
        <f t="shared" si="75"/>
        <v>59456</v>
      </c>
      <c r="AA426" s="75">
        <f t="shared" si="76"/>
        <v>61264</v>
      </c>
      <c r="AB426" s="151"/>
      <c r="AC426" s="153"/>
      <c r="AD426" s="151"/>
      <c r="AE426" s="153"/>
      <c r="AF426" s="151"/>
      <c r="AG426" s="153"/>
      <c r="AH426" s="151"/>
      <c r="AI426" s="153"/>
      <c r="AJ426" s="151"/>
      <c r="AK426" s="153"/>
      <c r="AL426" s="151"/>
      <c r="AM426" s="153"/>
      <c r="AN426" s="151"/>
      <c r="AO426" s="153"/>
      <c r="AP426" s="61">
        <f t="shared" si="77"/>
        <v>59456</v>
      </c>
      <c r="AQ426" s="75">
        <f t="shared" si="78"/>
        <v>61264</v>
      </c>
      <c r="AR426" s="150" t="s">
        <v>128</v>
      </c>
    </row>
    <row r="427" spans="1:44" ht="41.25" customHeight="1" x14ac:dyDescent="0.25">
      <c r="A427" s="4" t="s">
        <v>271</v>
      </c>
      <c r="B427" s="4" t="s">
        <v>279</v>
      </c>
      <c r="C427" s="5" t="s">
        <v>93</v>
      </c>
      <c r="D427" s="151">
        <v>1024</v>
      </c>
      <c r="E427" s="153">
        <v>565</v>
      </c>
      <c r="F427" s="151"/>
      <c r="G427" s="153"/>
      <c r="H427" s="151"/>
      <c r="I427" s="153"/>
      <c r="J427" s="151"/>
      <c r="K427" s="153"/>
      <c r="L427" s="151"/>
      <c r="M427" s="153"/>
      <c r="N427" s="151"/>
      <c r="O427" s="153"/>
      <c r="P427" s="151"/>
      <c r="Q427" s="153"/>
      <c r="R427" s="151"/>
      <c r="S427" s="153"/>
      <c r="T427" s="151"/>
      <c r="U427" s="153"/>
      <c r="V427" s="151"/>
      <c r="W427" s="153"/>
      <c r="X427" s="151"/>
      <c r="Y427" s="153"/>
      <c r="Z427" s="61">
        <f t="shared" si="75"/>
        <v>1024</v>
      </c>
      <c r="AA427" s="75">
        <f t="shared" si="76"/>
        <v>565</v>
      </c>
      <c r="AB427" s="151"/>
      <c r="AC427" s="153"/>
      <c r="AD427" s="151"/>
      <c r="AE427" s="153"/>
      <c r="AF427" s="151"/>
      <c r="AG427" s="153"/>
      <c r="AH427" s="151"/>
      <c r="AI427" s="153"/>
      <c r="AJ427" s="151"/>
      <c r="AK427" s="153"/>
      <c r="AL427" s="151"/>
      <c r="AM427" s="153"/>
      <c r="AN427" s="151"/>
      <c r="AO427" s="153"/>
      <c r="AP427" s="61">
        <f t="shared" si="77"/>
        <v>1024</v>
      </c>
      <c r="AQ427" s="75">
        <f t="shared" si="78"/>
        <v>565</v>
      </c>
      <c r="AR427" s="150" t="s">
        <v>128</v>
      </c>
    </row>
    <row r="428" spans="1:44" x14ac:dyDescent="0.25">
      <c r="A428" s="4" t="s">
        <v>271</v>
      </c>
      <c r="B428" s="4" t="s">
        <v>280</v>
      </c>
      <c r="C428" s="5" t="s">
        <v>82</v>
      </c>
      <c r="D428" s="151">
        <v>177945</v>
      </c>
      <c r="E428" s="153">
        <v>206460</v>
      </c>
      <c r="F428" s="151">
        <v>1000</v>
      </c>
      <c r="G428" s="153">
        <v>1200</v>
      </c>
      <c r="H428" s="151">
        <v>38000</v>
      </c>
      <c r="I428" s="153">
        <v>38000</v>
      </c>
      <c r="J428" s="151">
        <v>10000</v>
      </c>
      <c r="K428" s="153">
        <v>10000</v>
      </c>
      <c r="L428" s="151">
        <v>31000</v>
      </c>
      <c r="M428" s="153">
        <v>30000</v>
      </c>
      <c r="N428" s="151">
        <v>932</v>
      </c>
      <c r="O428" s="153">
        <v>932</v>
      </c>
      <c r="P428" s="151"/>
      <c r="Q428" s="153"/>
      <c r="R428" s="151">
        <v>4300</v>
      </c>
      <c r="S428" s="153">
        <v>3300</v>
      </c>
      <c r="T428" s="151">
        <v>51644</v>
      </c>
      <c r="U428" s="153">
        <v>48249</v>
      </c>
      <c r="V428" s="151"/>
      <c r="W428" s="153"/>
      <c r="X428" s="151"/>
      <c r="Y428" s="153"/>
      <c r="Z428" s="61">
        <f t="shared" si="75"/>
        <v>314821</v>
      </c>
      <c r="AA428" s="75">
        <f t="shared" si="76"/>
        <v>338141</v>
      </c>
      <c r="AB428" s="151"/>
      <c r="AC428" s="153"/>
      <c r="AD428" s="151">
        <v>7300</v>
      </c>
      <c r="AE428" s="153">
        <v>7000</v>
      </c>
      <c r="AF428" s="151">
        <v>14300</v>
      </c>
      <c r="AG428" s="153">
        <v>13000</v>
      </c>
      <c r="AH428" s="151"/>
      <c r="AI428" s="153"/>
      <c r="AJ428" s="151"/>
      <c r="AK428" s="153"/>
      <c r="AL428" s="151"/>
      <c r="AM428" s="153"/>
      <c r="AN428" s="151"/>
      <c r="AO428" s="153"/>
      <c r="AP428" s="61">
        <f t="shared" si="77"/>
        <v>336421</v>
      </c>
      <c r="AQ428" s="75">
        <f t="shared" si="78"/>
        <v>358141</v>
      </c>
      <c r="AR428" s="150" t="s">
        <v>128</v>
      </c>
    </row>
    <row r="429" spans="1:44" ht="26.25" x14ac:dyDescent="0.25">
      <c r="A429" s="4" t="s">
        <v>271</v>
      </c>
      <c r="B429" s="4" t="s">
        <v>281</v>
      </c>
      <c r="C429" s="5" t="s">
        <v>82</v>
      </c>
      <c r="D429" s="151">
        <f>4116+187525</f>
        <v>191641</v>
      </c>
      <c r="E429" s="153">
        <v>195905</v>
      </c>
      <c r="F429" s="151"/>
      <c r="G429" s="153"/>
      <c r="H429" s="151"/>
      <c r="I429" s="153"/>
      <c r="J429" s="151"/>
      <c r="K429" s="153"/>
      <c r="L429" s="151"/>
      <c r="M429" s="153"/>
      <c r="N429" s="151"/>
      <c r="O429" s="153"/>
      <c r="P429" s="151"/>
      <c r="Q429" s="153"/>
      <c r="R429" s="151"/>
      <c r="S429" s="153"/>
      <c r="T429" s="151"/>
      <c r="U429" s="153"/>
      <c r="V429" s="151"/>
      <c r="W429" s="153"/>
      <c r="X429" s="151"/>
      <c r="Y429" s="153"/>
      <c r="Z429" s="61">
        <f t="shared" si="75"/>
        <v>191641</v>
      </c>
      <c r="AA429" s="75">
        <f t="shared" si="76"/>
        <v>195905</v>
      </c>
      <c r="AB429" s="151"/>
      <c r="AC429" s="153"/>
      <c r="AD429" s="151"/>
      <c r="AE429" s="153"/>
      <c r="AF429" s="151"/>
      <c r="AG429" s="153"/>
      <c r="AH429" s="151"/>
      <c r="AI429" s="153"/>
      <c r="AJ429" s="151"/>
      <c r="AK429" s="153"/>
      <c r="AL429" s="151"/>
      <c r="AM429" s="153"/>
      <c r="AN429" s="151"/>
      <c r="AO429" s="153"/>
      <c r="AP429" s="61">
        <f t="shared" si="77"/>
        <v>191641</v>
      </c>
      <c r="AQ429" s="75">
        <f t="shared" si="78"/>
        <v>195905</v>
      </c>
      <c r="AR429" s="150" t="s">
        <v>128</v>
      </c>
    </row>
    <row r="430" spans="1:44" ht="26.25" x14ac:dyDescent="0.25">
      <c r="A430" s="4" t="s">
        <v>271</v>
      </c>
      <c r="B430" s="4" t="s">
        <v>282</v>
      </c>
      <c r="C430" s="5" t="s">
        <v>82</v>
      </c>
      <c r="D430" s="151">
        <v>82416</v>
      </c>
      <c r="E430" s="153">
        <v>91696</v>
      </c>
      <c r="F430" s="151"/>
      <c r="G430" s="153"/>
      <c r="H430" s="151"/>
      <c r="I430" s="153"/>
      <c r="J430" s="151"/>
      <c r="K430" s="153"/>
      <c r="L430" s="151"/>
      <c r="M430" s="153"/>
      <c r="N430" s="151"/>
      <c r="O430" s="153"/>
      <c r="P430" s="151"/>
      <c r="Q430" s="153"/>
      <c r="R430" s="151"/>
      <c r="S430" s="153"/>
      <c r="T430" s="151"/>
      <c r="U430" s="153"/>
      <c r="V430" s="151"/>
      <c r="W430" s="153"/>
      <c r="X430" s="151"/>
      <c r="Y430" s="153"/>
      <c r="Z430" s="61">
        <f t="shared" si="75"/>
        <v>82416</v>
      </c>
      <c r="AA430" s="75">
        <f t="shared" si="76"/>
        <v>91696</v>
      </c>
      <c r="AB430" s="151"/>
      <c r="AC430" s="153"/>
      <c r="AD430" s="151"/>
      <c r="AE430" s="153"/>
      <c r="AF430" s="151"/>
      <c r="AG430" s="153"/>
      <c r="AH430" s="151"/>
      <c r="AI430" s="153"/>
      <c r="AJ430" s="151"/>
      <c r="AK430" s="153"/>
      <c r="AL430" s="151"/>
      <c r="AM430" s="153"/>
      <c r="AN430" s="151"/>
      <c r="AO430" s="153"/>
      <c r="AP430" s="61">
        <f t="shared" si="77"/>
        <v>82416</v>
      </c>
      <c r="AQ430" s="75">
        <f t="shared" si="78"/>
        <v>91696</v>
      </c>
      <c r="AR430" s="150" t="s">
        <v>128</v>
      </c>
    </row>
    <row r="431" spans="1:44" ht="26.25" x14ac:dyDescent="0.25">
      <c r="A431" s="4" t="s">
        <v>271</v>
      </c>
      <c r="B431" s="4" t="s">
        <v>283</v>
      </c>
      <c r="C431" s="5" t="s">
        <v>93</v>
      </c>
      <c r="D431" s="151">
        <v>512</v>
      </c>
      <c r="E431" s="153">
        <v>1047</v>
      </c>
      <c r="F431" s="151"/>
      <c r="G431" s="153"/>
      <c r="H431" s="151"/>
      <c r="I431" s="153"/>
      <c r="J431" s="151"/>
      <c r="K431" s="153"/>
      <c r="L431" s="151"/>
      <c r="M431" s="153"/>
      <c r="N431" s="151"/>
      <c r="O431" s="153"/>
      <c r="P431" s="151"/>
      <c r="Q431" s="153"/>
      <c r="R431" s="151"/>
      <c r="S431" s="153"/>
      <c r="T431" s="151"/>
      <c r="U431" s="153"/>
      <c r="V431" s="151"/>
      <c r="W431" s="153"/>
      <c r="X431" s="151"/>
      <c r="Y431" s="153"/>
      <c r="Z431" s="61">
        <f t="shared" si="75"/>
        <v>512</v>
      </c>
      <c r="AA431" s="75">
        <f t="shared" si="76"/>
        <v>1047</v>
      </c>
      <c r="AB431" s="151"/>
      <c r="AC431" s="153"/>
      <c r="AD431" s="151"/>
      <c r="AE431" s="153"/>
      <c r="AF431" s="151"/>
      <c r="AG431" s="153"/>
      <c r="AH431" s="151"/>
      <c r="AI431" s="153"/>
      <c r="AJ431" s="151"/>
      <c r="AK431" s="153"/>
      <c r="AL431" s="151"/>
      <c r="AM431" s="153"/>
      <c r="AN431" s="151"/>
      <c r="AO431" s="153"/>
      <c r="AP431" s="61">
        <f t="shared" si="77"/>
        <v>512</v>
      </c>
      <c r="AQ431" s="75">
        <f t="shared" si="78"/>
        <v>1047</v>
      </c>
      <c r="AR431" s="150" t="s">
        <v>128</v>
      </c>
    </row>
    <row r="432" spans="1:44" x14ac:dyDescent="0.25">
      <c r="A432" s="4" t="s">
        <v>271</v>
      </c>
      <c r="B432" s="4" t="s">
        <v>284</v>
      </c>
      <c r="C432" s="5" t="s">
        <v>86</v>
      </c>
      <c r="D432" s="151">
        <v>79978</v>
      </c>
      <c r="E432" s="153">
        <v>122513</v>
      </c>
      <c r="F432" s="151">
        <v>2500</v>
      </c>
      <c r="G432" s="153">
        <v>4000</v>
      </c>
      <c r="H432" s="151">
        <v>29000</v>
      </c>
      <c r="I432" s="153">
        <v>38556</v>
      </c>
      <c r="J432" s="151">
        <v>4000</v>
      </c>
      <c r="K432" s="153">
        <v>5860</v>
      </c>
      <c r="L432" s="151">
        <v>21000</v>
      </c>
      <c r="M432" s="73">
        <f>8640+43200</f>
        <v>51840</v>
      </c>
      <c r="N432" s="151">
        <v>2500</v>
      </c>
      <c r="O432" s="97">
        <v>2500</v>
      </c>
      <c r="P432" s="151"/>
      <c r="Q432" s="153"/>
      <c r="R432" s="151">
        <v>800</v>
      </c>
      <c r="S432" s="97">
        <v>800</v>
      </c>
      <c r="T432" s="151"/>
      <c r="U432" s="153"/>
      <c r="V432" s="151"/>
      <c r="W432" s="153"/>
      <c r="X432" s="151">
        <v>14661</v>
      </c>
      <c r="Y432" s="153"/>
      <c r="Z432" s="61">
        <f t="shared" si="75"/>
        <v>154439</v>
      </c>
      <c r="AA432" s="75">
        <f t="shared" si="76"/>
        <v>226069</v>
      </c>
      <c r="AB432" s="151">
        <v>40</v>
      </c>
      <c r="AC432" s="153"/>
      <c r="AD432" s="151">
        <v>12000</v>
      </c>
      <c r="AE432" s="153">
        <f>3000+4800+1253+4000</f>
        <v>13053</v>
      </c>
      <c r="AF432" s="151">
        <v>21000</v>
      </c>
      <c r="AG432" s="97">
        <v>21000</v>
      </c>
      <c r="AH432" s="151"/>
      <c r="AI432" s="153"/>
      <c r="AJ432" s="151"/>
      <c r="AK432" s="153"/>
      <c r="AL432" s="151"/>
      <c r="AM432" s="153"/>
      <c r="AN432" s="151"/>
      <c r="AO432" s="153"/>
      <c r="AP432" s="61">
        <f t="shared" si="77"/>
        <v>187479</v>
      </c>
      <c r="AQ432" s="75">
        <f t="shared" si="78"/>
        <v>260122</v>
      </c>
      <c r="AR432" s="150" t="s">
        <v>128</v>
      </c>
    </row>
    <row r="433" spans="1:44" ht="26.25" x14ac:dyDescent="0.25">
      <c r="A433" s="4" t="s">
        <v>271</v>
      </c>
      <c r="B433" s="4" t="s">
        <v>285</v>
      </c>
      <c r="C433" s="5" t="s">
        <v>86</v>
      </c>
      <c r="D433" s="151">
        <v>13332</v>
      </c>
      <c r="E433" s="153">
        <v>13407</v>
      </c>
      <c r="F433" s="151"/>
      <c r="G433" s="153"/>
      <c r="H433" s="151"/>
      <c r="I433" s="153"/>
      <c r="J433" s="151"/>
      <c r="K433" s="153"/>
      <c r="L433" s="151"/>
      <c r="M433" s="153"/>
      <c r="N433" s="151"/>
      <c r="O433" s="153"/>
      <c r="P433" s="151"/>
      <c r="Q433" s="153"/>
      <c r="R433" s="151"/>
      <c r="S433" s="153"/>
      <c r="T433" s="151"/>
      <c r="U433" s="153"/>
      <c r="V433" s="151"/>
      <c r="W433" s="153"/>
      <c r="X433" s="151"/>
      <c r="Y433" s="153"/>
      <c r="Z433" s="61">
        <f t="shared" si="75"/>
        <v>13332</v>
      </c>
      <c r="AA433" s="75">
        <f t="shared" si="76"/>
        <v>13407</v>
      </c>
      <c r="AB433" s="151"/>
      <c r="AC433" s="153"/>
      <c r="AD433" s="151"/>
      <c r="AE433" s="153"/>
      <c r="AF433" s="151"/>
      <c r="AG433" s="153"/>
      <c r="AH433" s="151"/>
      <c r="AI433" s="153"/>
      <c r="AJ433" s="151"/>
      <c r="AK433" s="153"/>
      <c r="AL433" s="151"/>
      <c r="AM433" s="153"/>
      <c r="AN433" s="151"/>
      <c r="AO433" s="153"/>
      <c r="AP433" s="61">
        <f t="shared" si="77"/>
        <v>13332</v>
      </c>
      <c r="AQ433" s="75">
        <f t="shared" si="78"/>
        <v>13407</v>
      </c>
      <c r="AR433" s="150" t="s">
        <v>128</v>
      </c>
    </row>
    <row r="434" spans="1:44" ht="26.25" x14ac:dyDescent="0.25">
      <c r="A434" s="4" t="s">
        <v>271</v>
      </c>
      <c r="B434" s="4" t="s">
        <v>286</v>
      </c>
      <c r="C434" s="5" t="s">
        <v>86</v>
      </c>
      <c r="D434" s="151">
        <v>307584</v>
      </c>
      <c r="E434" s="153">
        <v>337176</v>
      </c>
      <c r="F434" s="151"/>
      <c r="G434" s="153"/>
      <c r="H434" s="151"/>
      <c r="I434" s="153"/>
      <c r="J434" s="151"/>
      <c r="K434" s="153"/>
      <c r="L434" s="151"/>
      <c r="M434" s="153"/>
      <c r="N434" s="151"/>
      <c r="O434" s="153"/>
      <c r="P434" s="151"/>
      <c r="Q434" s="153"/>
      <c r="R434" s="151"/>
      <c r="S434" s="153"/>
      <c r="T434" s="151"/>
      <c r="U434" s="153"/>
      <c r="V434" s="151"/>
      <c r="W434" s="153"/>
      <c r="X434" s="151"/>
      <c r="Y434" s="153"/>
      <c r="Z434" s="61">
        <f t="shared" si="75"/>
        <v>307584</v>
      </c>
      <c r="AA434" s="75">
        <f t="shared" si="76"/>
        <v>337176</v>
      </c>
      <c r="AB434" s="151"/>
      <c r="AC434" s="153"/>
      <c r="AD434" s="151"/>
      <c r="AE434" s="153"/>
      <c r="AF434" s="151"/>
      <c r="AG434" s="153"/>
      <c r="AH434" s="151"/>
      <c r="AI434" s="153"/>
      <c r="AJ434" s="151"/>
      <c r="AK434" s="153"/>
      <c r="AL434" s="151"/>
      <c r="AM434" s="153"/>
      <c r="AN434" s="151"/>
      <c r="AO434" s="153"/>
      <c r="AP434" s="61">
        <f t="shared" si="77"/>
        <v>307584</v>
      </c>
      <c r="AQ434" s="75">
        <f t="shared" si="78"/>
        <v>337176</v>
      </c>
      <c r="AR434" s="150" t="s">
        <v>128</v>
      </c>
    </row>
    <row r="435" spans="1:44" ht="26.25" x14ac:dyDescent="0.25">
      <c r="A435" s="4" t="s">
        <v>271</v>
      </c>
      <c r="B435" s="4" t="s">
        <v>287</v>
      </c>
      <c r="C435" s="5" t="s">
        <v>93</v>
      </c>
      <c r="D435" s="151">
        <v>9168</v>
      </c>
      <c r="E435" s="153">
        <v>9088</v>
      </c>
      <c r="F435" s="151"/>
      <c r="G435" s="153"/>
      <c r="H435" s="151"/>
      <c r="I435" s="153"/>
      <c r="J435" s="151"/>
      <c r="K435" s="153"/>
      <c r="L435" s="151"/>
      <c r="M435" s="153"/>
      <c r="N435" s="151"/>
      <c r="O435" s="153"/>
      <c r="P435" s="151"/>
      <c r="Q435" s="153"/>
      <c r="R435" s="151"/>
      <c r="S435" s="153"/>
      <c r="T435" s="151"/>
      <c r="U435" s="153"/>
      <c r="V435" s="151"/>
      <c r="W435" s="153"/>
      <c r="X435" s="151"/>
      <c r="Y435" s="153"/>
      <c r="Z435" s="61">
        <f t="shared" si="75"/>
        <v>9168</v>
      </c>
      <c r="AA435" s="75">
        <f t="shared" si="76"/>
        <v>9088</v>
      </c>
      <c r="AB435" s="151"/>
      <c r="AC435" s="153"/>
      <c r="AD435" s="151"/>
      <c r="AE435" s="153"/>
      <c r="AF435" s="151"/>
      <c r="AG435" s="153"/>
      <c r="AH435" s="151"/>
      <c r="AI435" s="153"/>
      <c r="AJ435" s="151"/>
      <c r="AK435" s="153"/>
      <c r="AL435" s="151"/>
      <c r="AM435" s="153"/>
      <c r="AN435" s="151"/>
      <c r="AO435" s="153"/>
      <c r="AP435" s="61">
        <f t="shared" si="77"/>
        <v>9168</v>
      </c>
      <c r="AQ435" s="75">
        <f t="shared" si="78"/>
        <v>9088</v>
      </c>
      <c r="AR435" s="150" t="s">
        <v>128</v>
      </c>
    </row>
    <row r="436" spans="1:44" ht="26.25" x14ac:dyDescent="0.25">
      <c r="A436" s="4" t="s">
        <v>271</v>
      </c>
      <c r="B436" s="4" t="s">
        <v>288</v>
      </c>
      <c r="C436" s="5" t="s">
        <v>86</v>
      </c>
      <c r="D436" s="151">
        <v>263210</v>
      </c>
      <c r="E436" s="153">
        <v>283075</v>
      </c>
      <c r="F436" s="151">
        <v>4000</v>
      </c>
      <c r="G436" s="153">
        <v>3000</v>
      </c>
      <c r="H436" s="151">
        <v>71000</v>
      </c>
      <c r="I436" s="153">
        <v>60000</v>
      </c>
      <c r="J436" s="151">
        <v>10000</v>
      </c>
      <c r="K436" s="153">
        <v>10000</v>
      </c>
      <c r="L436" s="151">
        <v>41500</v>
      </c>
      <c r="M436" s="153">
        <v>37500</v>
      </c>
      <c r="N436" s="151">
        <v>5900</v>
      </c>
      <c r="O436" s="153">
        <v>3900</v>
      </c>
      <c r="P436" s="151"/>
      <c r="Q436" s="153"/>
      <c r="R436" s="151">
        <v>400</v>
      </c>
      <c r="S436" s="153">
        <v>400</v>
      </c>
      <c r="T436" s="151"/>
      <c r="U436" s="153"/>
      <c r="V436" s="151"/>
      <c r="W436" s="153"/>
      <c r="X436" s="151"/>
      <c r="Y436" s="153"/>
      <c r="Z436" s="61">
        <f t="shared" si="75"/>
        <v>396010</v>
      </c>
      <c r="AA436" s="75">
        <f t="shared" si="76"/>
        <v>397875</v>
      </c>
      <c r="AB436" s="151">
        <v>600</v>
      </c>
      <c r="AC436" s="153">
        <v>600</v>
      </c>
      <c r="AD436" s="151">
        <v>40600</v>
      </c>
      <c r="AE436" s="153">
        <v>35000</v>
      </c>
      <c r="AF436" s="151">
        <v>49100</v>
      </c>
      <c r="AG436" s="153">
        <v>40000</v>
      </c>
      <c r="AH436" s="151"/>
      <c r="AI436" s="153"/>
      <c r="AJ436" s="151"/>
      <c r="AK436" s="153"/>
      <c r="AL436" s="151"/>
      <c r="AM436" s="153"/>
      <c r="AN436" s="151"/>
      <c r="AO436" s="153"/>
      <c r="AP436" s="61">
        <f t="shared" si="77"/>
        <v>486310</v>
      </c>
      <c r="AQ436" s="75">
        <f t="shared" si="78"/>
        <v>473475</v>
      </c>
      <c r="AR436" s="150" t="s">
        <v>128</v>
      </c>
    </row>
    <row r="437" spans="1:44" ht="26.25" x14ac:dyDescent="0.25">
      <c r="A437" s="4" t="s">
        <v>271</v>
      </c>
      <c r="B437" s="4" t="s">
        <v>289</v>
      </c>
      <c r="C437" s="5" t="s">
        <v>86</v>
      </c>
      <c r="D437" s="151">
        <v>12121</v>
      </c>
      <c r="E437" s="153">
        <v>13170</v>
      </c>
      <c r="F437" s="151"/>
      <c r="G437" s="153"/>
      <c r="H437" s="151"/>
      <c r="I437" s="153"/>
      <c r="J437" s="151"/>
      <c r="K437" s="153"/>
      <c r="L437" s="151"/>
      <c r="M437" s="153"/>
      <c r="N437" s="151"/>
      <c r="O437" s="153"/>
      <c r="P437" s="151"/>
      <c r="Q437" s="153"/>
      <c r="R437" s="151"/>
      <c r="S437" s="153"/>
      <c r="T437" s="151"/>
      <c r="U437" s="153"/>
      <c r="V437" s="151"/>
      <c r="W437" s="153"/>
      <c r="X437" s="151"/>
      <c r="Y437" s="153"/>
      <c r="Z437" s="61">
        <f t="shared" si="75"/>
        <v>12121</v>
      </c>
      <c r="AA437" s="75">
        <f t="shared" si="76"/>
        <v>13170</v>
      </c>
      <c r="AB437" s="151"/>
      <c r="AC437" s="153"/>
      <c r="AD437" s="151"/>
      <c r="AE437" s="153"/>
      <c r="AF437" s="151"/>
      <c r="AG437" s="153"/>
      <c r="AH437" s="151"/>
      <c r="AI437" s="153"/>
      <c r="AJ437" s="151"/>
      <c r="AK437" s="153"/>
      <c r="AL437" s="151"/>
      <c r="AM437" s="153"/>
      <c r="AN437" s="151"/>
      <c r="AO437" s="153"/>
      <c r="AP437" s="61">
        <f t="shared" si="77"/>
        <v>12121</v>
      </c>
      <c r="AQ437" s="75">
        <f t="shared" si="78"/>
        <v>13170</v>
      </c>
      <c r="AR437" s="150" t="s">
        <v>128</v>
      </c>
    </row>
    <row r="438" spans="1:44" ht="26.25" x14ac:dyDescent="0.25">
      <c r="A438" s="4" t="s">
        <v>271</v>
      </c>
      <c r="B438" s="4" t="s">
        <v>290</v>
      </c>
      <c r="C438" s="5" t="s">
        <v>86</v>
      </c>
      <c r="D438" s="151">
        <f>864376+594</f>
        <v>864970</v>
      </c>
      <c r="E438" s="153">
        <f>875752+20632+138+8408</f>
        <v>904930</v>
      </c>
      <c r="F438" s="151"/>
      <c r="G438" s="153"/>
      <c r="H438" s="151"/>
      <c r="I438" s="153"/>
      <c r="J438" s="151"/>
      <c r="K438" s="153"/>
      <c r="L438" s="151"/>
      <c r="M438" s="153"/>
      <c r="N438" s="151"/>
      <c r="O438" s="153"/>
      <c r="P438" s="151"/>
      <c r="Q438" s="153"/>
      <c r="R438" s="151"/>
      <c r="S438" s="153"/>
      <c r="T438" s="151"/>
      <c r="U438" s="153"/>
      <c r="V438" s="151"/>
      <c r="W438" s="153"/>
      <c r="X438" s="151"/>
      <c r="Y438" s="153"/>
      <c r="Z438" s="61">
        <f t="shared" si="75"/>
        <v>864970</v>
      </c>
      <c r="AA438" s="75">
        <f t="shared" si="76"/>
        <v>904930</v>
      </c>
      <c r="AB438" s="151"/>
      <c r="AC438" s="153"/>
      <c r="AD438" s="151"/>
      <c r="AE438" s="153"/>
      <c r="AF438" s="151"/>
      <c r="AG438" s="153"/>
      <c r="AH438" s="151"/>
      <c r="AI438" s="153"/>
      <c r="AJ438" s="151"/>
      <c r="AK438" s="153"/>
      <c r="AL438" s="151"/>
      <c r="AM438" s="153"/>
      <c r="AN438" s="151"/>
      <c r="AO438" s="153"/>
      <c r="AP438" s="61">
        <f t="shared" si="77"/>
        <v>864970</v>
      </c>
      <c r="AQ438" s="75">
        <f t="shared" si="78"/>
        <v>904930</v>
      </c>
      <c r="AR438" s="150" t="s">
        <v>128</v>
      </c>
    </row>
    <row r="439" spans="1:44" ht="26.25" x14ac:dyDescent="0.25">
      <c r="A439" s="4" t="s">
        <v>271</v>
      </c>
      <c r="B439" s="4" t="s">
        <v>291</v>
      </c>
      <c r="C439" s="5" t="s">
        <v>93</v>
      </c>
      <c r="D439" s="151">
        <v>11720</v>
      </c>
      <c r="E439" s="153">
        <f>8847</f>
        <v>8847</v>
      </c>
      <c r="F439" s="151"/>
      <c r="G439" s="153"/>
      <c r="H439" s="151"/>
      <c r="I439" s="153"/>
      <c r="J439" s="151"/>
      <c r="K439" s="153"/>
      <c r="L439" s="151"/>
      <c r="M439" s="153"/>
      <c r="N439" s="151"/>
      <c r="O439" s="153"/>
      <c r="P439" s="151"/>
      <c r="Q439" s="153"/>
      <c r="R439" s="151"/>
      <c r="S439" s="153"/>
      <c r="T439" s="151"/>
      <c r="U439" s="153"/>
      <c r="V439" s="151"/>
      <c r="W439" s="153"/>
      <c r="X439" s="151"/>
      <c r="Y439" s="153"/>
      <c r="Z439" s="61">
        <f t="shared" si="75"/>
        <v>11720</v>
      </c>
      <c r="AA439" s="75">
        <f t="shared" si="76"/>
        <v>8847</v>
      </c>
      <c r="AB439" s="151"/>
      <c r="AC439" s="153"/>
      <c r="AD439" s="151"/>
      <c r="AE439" s="153"/>
      <c r="AF439" s="151"/>
      <c r="AG439" s="153"/>
      <c r="AH439" s="151"/>
      <c r="AI439" s="153"/>
      <c r="AJ439" s="151"/>
      <c r="AK439" s="153"/>
      <c r="AL439" s="151"/>
      <c r="AM439" s="153"/>
      <c r="AN439" s="151"/>
      <c r="AO439" s="153"/>
      <c r="AP439" s="61">
        <f t="shared" si="77"/>
        <v>11720</v>
      </c>
      <c r="AQ439" s="75">
        <f t="shared" si="78"/>
        <v>8847</v>
      </c>
      <c r="AR439" s="150" t="s">
        <v>128</v>
      </c>
    </row>
    <row r="440" spans="1:44" x14ac:dyDescent="0.25">
      <c r="A440" s="4" t="s">
        <v>271</v>
      </c>
      <c r="B440" s="4" t="s">
        <v>292</v>
      </c>
      <c r="C440" s="5" t="s">
        <v>93</v>
      </c>
      <c r="D440" s="151">
        <v>24123</v>
      </c>
      <c r="E440" s="153">
        <v>26666</v>
      </c>
      <c r="F440" s="151">
        <v>1513</v>
      </c>
      <c r="G440" s="153">
        <v>1400</v>
      </c>
      <c r="H440" s="151">
        <v>9000</v>
      </c>
      <c r="I440" s="153">
        <v>8000</v>
      </c>
      <c r="J440" s="151">
        <v>300</v>
      </c>
      <c r="K440" s="153">
        <v>250</v>
      </c>
      <c r="L440" s="151">
        <v>4000</v>
      </c>
      <c r="M440" s="153">
        <v>5200</v>
      </c>
      <c r="N440" s="151">
        <v>1000</v>
      </c>
      <c r="O440" s="153">
        <v>800</v>
      </c>
      <c r="P440" s="151"/>
      <c r="Q440" s="153"/>
      <c r="R440" s="151"/>
      <c r="S440" s="153"/>
      <c r="T440" s="151"/>
      <c r="U440" s="153"/>
      <c r="V440" s="151"/>
      <c r="W440" s="153"/>
      <c r="X440" s="151"/>
      <c r="Y440" s="153"/>
      <c r="Z440" s="61">
        <f t="shared" si="75"/>
        <v>39936</v>
      </c>
      <c r="AA440" s="75">
        <f t="shared" si="76"/>
        <v>42316</v>
      </c>
      <c r="AB440" s="151">
        <v>400</v>
      </c>
      <c r="AC440" s="153">
        <v>300</v>
      </c>
      <c r="AD440" s="151">
        <v>12983</v>
      </c>
      <c r="AE440" s="153">
        <v>11583</v>
      </c>
      <c r="AF440" s="151">
        <v>8000</v>
      </c>
      <c r="AG440" s="153">
        <v>7000</v>
      </c>
      <c r="AH440" s="151">
        <v>119</v>
      </c>
      <c r="AI440" s="153">
        <v>10</v>
      </c>
      <c r="AJ440" s="151"/>
      <c r="AK440" s="153"/>
      <c r="AL440" s="151"/>
      <c r="AM440" s="153"/>
      <c r="AN440" s="151"/>
      <c r="AO440" s="153"/>
      <c r="AP440" s="61">
        <f t="shared" si="77"/>
        <v>61438</v>
      </c>
      <c r="AQ440" s="75">
        <f t="shared" si="78"/>
        <v>61209</v>
      </c>
      <c r="AR440" s="150" t="s">
        <v>128</v>
      </c>
    </row>
    <row r="441" spans="1:44" x14ac:dyDescent="0.25">
      <c r="A441" s="4" t="s">
        <v>271</v>
      </c>
      <c r="B441" s="4" t="s">
        <v>293</v>
      </c>
      <c r="C441" s="5" t="s">
        <v>93</v>
      </c>
      <c r="D441" s="151">
        <v>44792</v>
      </c>
      <c r="E441" s="153">
        <v>39163</v>
      </c>
      <c r="F441" s="151"/>
      <c r="G441" s="153"/>
      <c r="H441" s="151"/>
      <c r="I441" s="153"/>
      <c r="J441" s="151"/>
      <c r="K441" s="153"/>
      <c r="L441" s="151"/>
      <c r="M441" s="153"/>
      <c r="N441" s="151"/>
      <c r="O441" s="153"/>
      <c r="P441" s="151"/>
      <c r="Q441" s="153"/>
      <c r="R441" s="151"/>
      <c r="S441" s="153"/>
      <c r="T441" s="151"/>
      <c r="U441" s="153"/>
      <c r="V441" s="151"/>
      <c r="W441" s="153"/>
      <c r="X441" s="151"/>
      <c r="Y441" s="153"/>
      <c r="Z441" s="61">
        <f t="shared" si="75"/>
        <v>44792</v>
      </c>
      <c r="AA441" s="75">
        <f t="shared" si="76"/>
        <v>39163</v>
      </c>
      <c r="AB441" s="151"/>
      <c r="AC441" s="153"/>
      <c r="AD441" s="151"/>
      <c r="AE441" s="153"/>
      <c r="AF441" s="151"/>
      <c r="AG441" s="153"/>
      <c r="AH441" s="151"/>
      <c r="AI441" s="153"/>
      <c r="AJ441" s="151"/>
      <c r="AK441" s="153"/>
      <c r="AL441" s="151"/>
      <c r="AM441" s="153"/>
      <c r="AN441" s="151"/>
      <c r="AO441" s="153"/>
      <c r="AP441" s="61">
        <f t="shared" si="77"/>
        <v>44792</v>
      </c>
      <c r="AQ441" s="75">
        <f t="shared" si="78"/>
        <v>39163</v>
      </c>
      <c r="AR441" s="150" t="s">
        <v>128</v>
      </c>
    </row>
    <row r="442" spans="1:44" ht="26.25" x14ac:dyDescent="0.25">
      <c r="A442" s="4" t="s">
        <v>271</v>
      </c>
      <c r="B442" s="4" t="s">
        <v>294</v>
      </c>
      <c r="C442" s="5" t="s">
        <v>93</v>
      </c>
      <c r="D442" s="151">
        <f>44239+595</f>
        <v>44834</v>
      </c>
      <c r="E442" s="153">
        <f>50899+223</f>
        <v>51122</v>
      </c>
      <c r="F442" s="151"/>
      <c r="G442" s="153"/>
      <c r="H442" s="151"/>
      <c r="I442" s="153"/>
      <c r="J442" s="151"/>
      <c r="K442" s="153"/>
      <c r="L442" s="151"/>
      <c r="M442" s="153"/>
      <c r="N442" s="151"/>
      <c r="O442" s="153"/>
      <c r="P442" s="151"/>
      <c r="Q442" s="153"/>
      <c r="R442" s="151"/>
      <c r="S442" s="153"/>
      <c r="T442" s="151"/>
      <c r="U442" s="153"/>
      <c r="V442" s="151"/>
      <c r="W442" s="153"/>
      <c r="X442" s="151"/>
      <c r="Y442" s="153"/>
      <c r="Z442" s="61">
        <f t="shared" si="75"/>
        <v>44834</v>
      </c>
      <c r="AA442" s="75">
        <f t="shared" si="76"/>
        <v>51122</v>
      </c>
      <c r="AB442" s="151"/>
      <c r="AC442" s="153"/>
      <c r="AD442" s="151"/>
      <c r="AE442" s="153"/>
      <c r="AF442" s="151"/>
      <c r="AG442" s="153"/>
      <c r="AH442" s="151"/>
      <c r="AI442" s="153"/>
      <c r="AJ442" s="151"/>
      <c r="AK442" s="153"/>
      <c r="AL442" s="151"/>
      <c r="AM442" s="153"/>
      <c r="AN442" s="151"/>
      <c r="AO442" s="153"/>
      <c r="AP442" s="61">
        <f t="shared" si="77"/>
        <v>44834</v>
      </c>
      <c r="AQ442" s="75">
        <f t="shared" si="78"/>
        <v>51122</v>
      </c>
      <c r="AR442" s="150" t="s">
        <v>128</v>
      </c>
    </row>
    <row r="443" spans="1:44" x14ac:dyDescent="0.25">
      <c r="A443" s="4" t="s">
        <v>271</v>
      </c>
      <c r="B443" s="4" t="s">
        <v>295</v>
      </c>
      <c r="C443" s="5" t="s">
        <v>93</v>
      </c>
      <c r="D443" s="151"/>
      <c r="E443" s="153"/>
      <c r="F443" s="151">
        <v>465</v>
      </c>
      <c r="G443" s="153">
        <v>100</v>
      </c>
      <c r="H443" s="151"/>
      <c r="I443" s="153"/>
      <c r="J443" s="151"/>
      <c r="K443" s="153"/>
      <c r="L443" s="151"/>
      <c r="M443" s="153"/>
      <c r="N443" s="151">
        <v>822</v>
      </c>
      <c r="O443" s="153">
        <v>10</v>
      </c>
      <c r="P443" s="151"/>
      <c r="Q443" s="153"/>
      <c r="R443" s="151">
        <v>5000</v>
      </c>
      <c r="S443" s="153">
        <v>5000</v>
      </c>
      <c r="T443" s="151"/>
      <c r="U443" s="153"/>
      <c r="V443" s="151"/>
      <c r="W443" s="153"/>
      <c r="X443" s="151"/>
      <c r="Y443" s="153"/>
      <c r="Z443" s="61">
        <f t="shared" si="75"/>
        <v>6287</v>
      </c>
      <c r="AA443" s="75">
        <f t="shared" si="76"/>
        <v>5110</v>
      </c>
      <c r="AB443" s="151">
        <v>3000</v>
      </c>
      <c r="AC443" s="153">
        <v>2200</v>
      </c>
      <c r="AD443" s="151">
        <v>33925</v>
      </c>
      <c r="AE443" s="153">
        <v>21925</v>
      </c>
      <c r="AF443" s="151">
        <v>30156</v>
      </c>
      <c r="AG443" s="153">
        <v>30156</v>
      </c>
      <c r="AH443" s="151"/>
      <c r="AI443" s="153"/>
      <c r="AJ443" s="151"/>
      <c r="AK443" s="153"/>
      <c r="AL443" s="151"/>
      <c r="AM443" s="153"/>
      <c r="AN443" s="151"/>
      <c r="AO443" s="153"/>
      <c r="AP443" s="61">
        <f t="shared" si="77"/>
        <v>73368</v>
      </c>
      <c r="AQ443" s="75">
        <f t="shared" si="78"/>
        <v>59391</v>
      </c>
      <c r="AR443" s="150" t="s">
        <v>128</v>
      </c>
    </row>
    <row r="444" spans="1:44" ht="26.25" x14ac:dyDescent="0.25">
      <c r="A444" s="4" t="s">
        <v>271</v>
      </c>
      <c r="B444" s="4" t="s">
        <v>296</v>
      </c>
      <c r="C444" s="5" t="s">
        <v>93</v>
      </c>
      <c r="D444" s="151">
        <v>63872</v>
      </c>
      <c r="E444" s="153">
        <f>78652+11717</f>
        <v>90369</v>
      </c>
      <c r="F444" s="151"/>
      <c r="G444" s="153"/>
      <c r="H444" s="151"/>
      <c r="I444" s="153"/>
      <c r="J444" s="151"/>
      <c r="K444" s="153"/>
      <c r="L444" s="151"/>
      <c r="M444" s="153"/>
      <c r="N444" s="151"/>
      <c r="O444" s="153"/>
      <c r="P444" s="151"/>
      <c r="Q444" s="153"/>
      <c r="R444" s="151"/>
      <c r="S444" s="153"/>
      <c r="T444" s="151"/>
      <c r="U444" s="153"/>
      <c r="V444" s="151"/>
      <c r="W444" s="153"/>
      <c r="X444" s="151"/>
      <c r="Y444" s="153"/>
      <c r="Z444" s="61">
        <f t="shared" si="75"/>
        <v>63872</v>
      </c>
      <c r="AA444" s="75">
        <f t="shared" si="76"/>
        <v>90369</v>
      </c>
      <c r="AB444" s="151"/>
      <c r="AC444" s="153"/>
      <c r="AD444" s="151"/>
      <c r="AE444" s="153"/>
      <c r="AF444" s="151"/>
      <c r="AG444" s="153"/>
      <c r="AH444" s="151"/>
      <c r="AI444" s="153"/>
      <c r="AJ444" s="151"/>
      <c r="AK444" s="153"/>
      <c r="AL444" s="151"/>
      <c r="AM444" s="153"/>
      <c r="AN444" s="151"/>
      <c r="AO444" s="153"/>
      <c r="AP444" s="61">
        <f t="shared" si="77"/>
        <v>63872</v>
      </c>
      <c r="AQ444" s="75">
        <f t="shared" si="78"/>
        <v>90369</v>
      </c>
      <c r="AR444" s="150" t="s">
        <v>128</v>
      </c>
    </row>
    <row r="445" spans="1:44" ht="26.25" x14ac:dyDescent="0.25">
      <c r="A445" s="4" t="s">
        <v>271</v>
      </c>
      <c r="B445" s="4" t="s">
        <v>297</v>
      </c>
      <c r="C445" s="5" t="s">
        <v>93</v>
      </c>
      <c r="D445" s="151">
        <v>262918</v>
      </c>
      <c r="E445" s="153">
        <v>244008</v>
      </c>
      <c r="F445" s="151"/>
      <c r="G445" s="153"/>
      <c r="H445" s="151"/>
      <c r="I445" s="153"/>
      <c r="J445" s="151"/>
      <c r="K445" s="153"/>
      <c r="L445" s="151"/>
      <c r="M445" s="153"/>
      <c r="N445" s="151"/>
      <c r="O445" s="153"/>
      <c r="P445" s="151"/>
      <c r="Q445" s="153"/>
      <c r="R445" s="151"/>
      <c r="S445" s="153"/>
      <c r="T445" s="151"/>
      <c r="U445" s="153"/>
      <c r="V445" s="151"/>
      <c r="W445" s="153"/>
      <c r="X445" s="151"/>
      <c r="Y445" s="153"/>
      <c r="Z445" s="61">
        <f t="shared" si="75"/>
        <v>262918</v>
      </c>
      <c r="AA445" s="75">
        <f t="shared" si="76"/>
        <v>244008</v>
      </c>
      <c r="AB445" s="151"/>
      <c r="AC445" s="153"/>
      <c r="AD445" s="151"/>
      <c r="AE445" s="153"/>
      <c r="AF445" s="151"/>
      <c r="AG445" s="153"/>
      <c r="AH445" s="151"/>
      <c r="AI445" s="153"/>
      <c r="AJ445" s="151"/>
      <c r="AK445" s="153"/>
      <c r="AL445" s="151"/>
      <c r="AM445" s="153"/>
      <c r="AN445" s="151"/>
      <c r="AO445" s="153"/>
      <c r="AP445" s="61">
        <f t="shared" si="77"/>
        <v>262918</v>
      </c>
      <c r="AQ445" s="75">
        <f t="shared" si="78"/>
        <v>244008</v>
      </c>
      <c r="AR445" s="150" t="s">
        <v>128</v>
      </c>
    </row>
    <row r="446" spans="1:44" x14ac:dyDescent="0.25">
      <c r="A446" s="4" t="s">
        <v>271</v>
      </c>
      <c r="B446" s="4" t="s">
        <v>298</v>
      </c>
      <c r="C446" s="5" t="s">
        <v>93</v>
      </c>
      <c r="D446" s="151">
        <v>114883</v>
      </c>
      <c r="E446" s="153">
        <v>118231</v>
      </c>
      <c r="F446" s="151">
        <v>800</v>
      </c>
      <c r="G446" s="153">
        <v>1280</v>
      </c>
      <c r="H446" s="151">
        <v>27300</v>
      </c>
      <c r="I446" s="153">
        <v>27000</v>
      </c>
      <c r="J446" s="151">
        <v>5681</v>
      </c>
      <c r="K446" s="153">
        <v>4700</v>
      </c>
      <c r="L446" s="151">
        <v>29063</v>
      </c>
      <c r="M446" s="153">
        <v>29063</v>
      </c>
      <c r="N446" s="151">
        <v>2000</v>
      </c>
      <c r="O446" s="153">
        <v>2400</v>
      </c>
      <c r="P446" s="151"/>
      <c r="Q446" s="153"/>
      <c r="R446" s="151"/>
      <c r="S446" s="153"/>
      <c r="T446" s="151"/>
      <c r="U446" s="153"/>
      <c r="V446" s="151"/>
      <c r="W446" s="153"/>
      <c r="X446" s="151"/>
      <c r="Y446" s="153"/>
      <c r="Z446" s="61">
        <f t="shared" si="75"/>
        <v>179727</v>
      </c>
      <c r="AA446" s="75">
        <f t="shared" si="76"/>
        <v>182674</v>
      </c>
      <c r="AB446" s="151"/>
      <c r="AC446" s="153"/>
      <c r="AD446" s="151">
        <v>18792</v>
      </c>
      <c r="AE446" s="153">
        <v>17700</v>
      </c>
      <c r="AF446" s="151">
        <v>8000</v>
      </c>
      <c r="AG446" s="153">
        <v>7100</v>
      </c>
      <c r="AH446" s="151">
        <v>150</v>
      </c>
      <c r="AI446" s="153">
        <v>10</v>
      </c>
      <c r="AJ446" s="151"/>
      <c r="AK446" s="153"/>
      <c r="AL446" s="151"/>
      <c r="AM446" s="153"/>
      <c r="AN446" s="151"/>
      <c r="AO446" s="153"/>
      <c r="AP446" s="61">
        <f t="shared" si="77"/>
        <v>206669</v>
      </c>
      <c r="AQ446" s="75">
        <f t="shared" si="78"/>
        <v>207484</v>
      </c>
      <c r="AR446" s="150" t="s">
        <v>128</v>
      </c>
    </row>
    <row r="447" spans="1:44" ht="26.25" x14ac:dyDescent="0.25">
      <c r="A447" s="4" t="s">
        <v>271</v>
      </c>
      <c r="B447" s="4" t="s">
        <v>299</v>
      </c>
      <c r="C447" s="5" t="s">
        <v>93</v>
      </c>
      <c r="D447" s="151">
        <v>60769</v>
      </c>
      <c r="E447" s="153">
        <v>61503</v>
      </c>
      <c r="F447" s="151">
        <v>1200</v>
      </c>
      <c r="G447" s="153">
        <v>1200</v>
      </c>
      <c r="H447" s="151">
        <v>12000</v>
      </c>
      <c r="I447" s="153">
        <v>12000</v>
      </c>
      <c r="J447" s="151">
        <v>700</v>
      </c>
      <c r="K447" s="153">
        <v>700</v>
      </c>
      <c r="L447" s="151">
        <v>3000</v>
      </c>
      <c r="M447" s="153">
        <v>3000</v>
      </c>
      <c r="N447" s="151">
        <v>530</v>
      </c>
      <c r="O447" s="153">
        <v>530</v>
      </c>
      <c r="P447" s="151"/>
      <c r="Q447" s="153"/>
      <c r="R447" s="151">
        <v>590</v>
      </c>
      <c r="S447" s="153">
        <v>500</v>
      </c>
      <c r="T447" s="151"/>
      <c r="U447" s="153"/>
      <c r="V447" s="151"/>
      <c r="W447" s="153"/>
      <c r="X447" s="151"/>
      <c r="Y447" s="153"/>
      <c r="Z447" s="61">
        <f t="shared" si="75"/>
        <v>78789</v>
      </c>
      <c r="AA447" s="75">
        <f t="shared" si="76"/>
        <v>79433</v>
      </c>
      <c r="AB447" s="151">
        <v>940</v>
      </c>
      <c r="AC447" s="153">
        <v>500</v>
      </c>
      <c r="AD447" s="151">
        <v>4020</v>
      </c>
      <c r="AE447" s="153">
        <v>3000</v>
      </c>
      <c r="AF447" s="151">
        <v>5308</v>
      </c>
      <c r="AG447" s="153">
        <v>4000</v>
      </c>
      <c r="AH447" s="151"/>
      <c r="AI447" s="153">
        <v>50</v>
      </c>
      <c r="AJ447" s="151"/>
      <c r="AK447" s="153"/>
      <c r="AL447" s="151"/>
      <c r="AM447" s="153"/>
      <c r="AN447" s="151"/>
      <c r="AO447" s="153"/>
      <c r="AP447" s="61">
        <f t="shared" si="77"/>
        <v>89057</v>
      </c>
      <c r="AQ447" s="75">
        <f t="shared" si="78"/>
        <v>86983</v>
      </c>
      <c r="AR447" s="150" t="s">
        <v>128</v>
      </c>
    </row>
    <row r="448" spans="1:44" ht="26.25" x14ac:dyDescent="0.25">
      <c r="A448" s="4" t="s">
        <v>271</v>
      </c>
      <c r="B448" s="4" t="s">
        <v>300</v>
      </c>
      <c r="C448" s="5" t="s">
        <v>93</v>
      </c>
      <c r="D448" s="151">
        <v>53190</v>
      </c>
      <c r="E448" s="153">
        <f>59877-9769</f>
        <v>50108</v>
      </c>
      <c r="F448" s="151"/>
      <c r="G448" s="153"/>
      <c r="H448" s="151"/>
      <c r="I448" s="153"/>
      <c r="J448" s="151"/>
      <c r="K448" s="153"/>
      <c r="L448" s="151"/>
      <c r="M448" s="153"/>
      <c r="N448" s="151"/>
      <c r="O448" s="153"/>
      <c r="P448" s="151"/>
      <c r="Q448" s="153"/>
      <c r="R448" s="151"/>
      <c r="S448" s="153"/>
      <c r="T448" s="151"/>
      <c r="U448" s="153"/>
      <c r="V448" s="151"/>
      <c r="W448" s="153"/>
      <c r="X448" s="151"/>
      <c r="Y448" s="153"/>
      <c r="Z448" s="61">
        <f t="shared" si="75"/>
        <v>53190</v>
      </c>
      <c r="AA448" s="75">
        <f t="shared" si="76"/>
        <v>50108</v>
      </c>
      <c r="AB448" s="151"/>
      <c r="AC448" s="153"/>
      <c r="AD448" s="151"/>
      <c r="AE448" s="153"/>
      <c r="AF448" s="151"/>
      <c r="AG448" s="153"/>
      <c r="AH448" s="151"/>
      <c r="AI448" s="153"/>
      <c r="AJ448" s="151"/>
      <c r="AK448" s="153"/>
      <c r="AL448" s="151"/>
      <c r="AM448" s="153"/>
      <c r="AN448" s="151"/>
      <c r="AO448" s="153"/>
      <c r="AP448" s="61">
        <f t="shared" si="77"/>
        <v>53190</v>
      </c>
      <c r="AQ448" s="75">
        <f t="shared" si="78"/>
        <v>50108</v>
      </c>
      <c r="AR448" s="150" t="s">
        <v>128</v>
      </c>
    </row>
    <row r="449" spans="1:44" ht="39" x14ac:dyDescent="0.25">
      <c r="A449" s="4" t="s">
        <v>271</v>
      </c>
      <c r="B449" s="4" t="s">
        <v>301</v>
      </c>
      <c r="C449" s="5" t="s">
        <v>93</v>
      </c>
      <c r="D449" s="151">
        <v>322111</v>
      </c>
      <c r="E449" s="153">
        <v>354084</v>
      </c>
      <c r="F449" s="151"/>
      <c r="G449" s="153"/>
      <c r="H449" s="151"/>
      <c r="I449" s="153"/>
      <c r="J449" s="151"/>
      <c r="K449" s="153"/>
      <c r="L449" s="151"/>
      <c r="M449" s="153"/>
      <c r="N449" s="151"/>
      <c r="O449" s="153"/>
      <c r="P449" s="151"/>
      <c r="Q449" s="153"/>
      <c r="R449" s="151"/>
      <c r="S449" s="153"/>
      <c r="T449" s="151"/>
      <c r="U449" s="153"/>
      <c r="V449" s="151"/>
      <c r="W449" s="153"/>
      <c r="X449" s="151"/>
      <c r="Y449" s="153"/>
      <c r="Z449" s="61">
        <f t="shared" si="75"/>
        <v>322111</v>
      </c>
      <c r="AA449" s="75">
        <f t="shared" si="76"/>
        <v>354084</v>
      </c>
      <c r="AB449" s="151"/>
      <c r="AC449" s="153"/>
      <c r="AD449" s="151"/>
      <c r="AE449" s="153"/>
      <c r="AF449" s="151"/>
      <c r="AG449" s="153"/>
      <c r="AH449" s="151"/>
      <c r="AI449" s="153"/>
      <c r="AJ449" s="151"/>
      <c r="AK449" s="153"/>
      <c r="AL449" s="151"/>
      <c r="AM449" s="153"/>
      <c r="AN449" s="151"/>
      <c r="AO449" s="153"/>
      <c r="AP449" s="61">
        <f t="shared" si="77"/>
        <v>322111</v>
      </c>
      <c r="AQ449" s="75">
        <f t="shared" si="78"/>
        <v>354084</v>
      </c>
      <c r="AR449" s="150" t="s">
        <v>128</v>
      </c>
    </row>
    <row r="450" spans="1:44" x14ac:dyDescent="0.25">
      <c r="A450" s="4" t="s">
        <v>271</v>
      </c>
      <c r="B450" s="4" t="s">
        <v>302</v>
      </c>
      <c r="C450" s="5" t="s">
        <v>93</v>
      </c>
      <c r="D450" s="151">
        <v>9024</v>
      </c>
      <c r="E450" s="153">
        <v>11850</v>
      </c>
      <c r="F450" s="151">
        <v>700</v>
      </c>
      <c r="G450" s="153">
        <v>600</v>
      </c>
      <c r="H450" s="151">
        <v>3650</v>
      </c>
      <c r="I450" s="153">
        <v>3500</v>
      </c>
      <c r="J450" s="151">
        <v>600</v>
      </c>
      <c r="K450" s="153">
        <v>400</v>
      </c>
      <c r="L450" s="151">
        <v>1800</v>
      </c>
      <c r="M450" s="153">
        <v>1650</v>
      </c>
      <c r="N450" s="151">
        <v>400</v>
      </c>
      <c r="O450" s="153">
        <v>400</v>
      </c>
      <c r="P450" s="151"/>
      <c r="Q450" s="153"/>
      <c r="R450" s="151">
        <v>150</v>
      </c>
      <c r="S450" s="153">
        <v>100</v>
      </c>
      <c r="T450" s="151"/>
      <c r="U450" s="153"/>
      <c r="V450" s="151"/>
      <c r="W450" s="153"/>
      <c r="X450" s="151"/>
      <c r="Y450" s="153"/>
      <c r="Z450" s="61">
        <f t="shared" si="75"/>
        <v>16324</v>
      </c>
      <c r="AA450" s="75">
        <f t="shared" si="76"/>
        <v>18500</v>
      </c>
      <c r="AB450" s="151">
        <v>160</v>
      </c>
      <c r="AC450" s="153">
        <v>100</v>
      </c>
      <c r="AD450" s="151">
        <v>1200</v>
      </c>
      <c r="AE450" s="153">
        <v>1000</v>
      </c>
      <c r="AF450" s="151">
        <v>4000</v>
      </c>
      <c r="AG450" s="153">
        <v>3500</v>
      </c>
      <c r="AH450" s="151">
        <v>300</v>
      </c>
      <c r="AI450" s="153">
        <v>100</v>
      </c>
      <c r="AJ450" s="151"/>
      <c r="AK450" s="153"/>
      <c r="AL450" s="151"/>
      <c r="AM450" s="153"/>
      <c r="AN450" s="151"/>
      <c r="AO450" s="153"/>
      <c r="AP450" s="61">
        <f t="shared" si="77"/>
        <v>21984</v>
      </c>
      <c r="AQ450" s="75">
        <f t="shared" si="78"/>
        <v>23200</v>
      </c>
      <c r="AR450" s="150" t="s">
        <v>128</v>
      </c>
    </row>
    <row r="451" spans="1:44" ht="26.25" x14ac:dyDescent="0.25">
      <c r="A451" s="4" t="s">
        <v>271</v>
      </c>
      <c r="B451" s="4" t="s">
        <v>303</v>
      </c>
      <c r="C451" s="5" t="s">
        <v>93</v>
      </c>
      <c r="D451" s="151">
        <v>25225</v>
      </c>
      <c r="E451" s="153">
        <v>27694</v>
      </c>
      <c r="F451" s="151"/>
      <c r="G451" s="153"/>
      <c r="H451" s="151"/>
      <c r="I451" s="153"/>
      <c r="J451" s="151"/>
      <c r="K451" s="153"/>
      <c r="L451" s="151"/>
      <c r="M451" s="153"/>
      <c r="N451" s="151"/>
      <c r="O451" s="153"/>
      <c r="P451" s="151"/>
      <c r="Q451" s="153"/>
      <c r="R451" s="151"/>
      <c r="S451" s="153"/>
      <c r="T451" s="151"/>
      <c r="U451" s="153"/>
      <c r="V451" s="151"/>
      <c r="W451" s="153"/>
      <c r="X451" s="151"/>
      <c r="Y451" s="153"/>
      <c r="Z451" s="61">
        <f t="shared" si="75"/>
        <v>25225</v>
      </c>
      <c r="AA451" s="75">
        <f t="shared" si="76"/>
        <v>27694</v>
      </c>
      <c r="AB451" s="151"/>
      <c r="AC451" s="153"/>
      <c r="AD451" s="151"/>
      <c r="AE451" s="153"/>
      <c r="AF451" s="151"/>
      <c r="AG451" s="153"/>
      <c r="AH451" s="151"/>
      <c r="AI451" s="153"/>
      <c r="AJ451" s="151"/>
      <c r="AK451" s="153"/>
      <c r="AL451" s="151"/>
      <c r="AM451" s="153"/>
      <c r="AN451" s="151"/>
      <c r="AO451" s="153"/>
      <c r="AP451" s="61">
        <f t="shared" si="77"/>
        <v>25225</v>
      </c>
      <c r="AQ451" s="75">
        <f t="shared" si="78"/>
        <v>27694</v>
      </c>
      <c r="AR451" s="150" t="s">
        <v>128</v>
      </c>
    </row>
    <row r="452" spans="1:44" ht="26.25" x14ac:dyDescent="0.25">
      <c r="A452" s="4" t="s">
        <v>271</v>
      </c>
      <c r="B452" s="4" t="s">
        <v>304</v>
      </c>
      <c r="C452" s="5" t="s">
        <v>93</v>
      </c>
      <c r="D452" s="151">
        <v>51054</v>
      </c>
      <c r="E452" s="153">
        <v>56766</v>
      </c>
      <c r="F452" s="151"/>
      <c r="G452" s="153"/>
      <c r="H452" s="151"/>
      <c r="I452" s="153"/>
      <c r="J452" s="151"/>
      <c r="K452" s="153"/>
      <c r="L452" s="151"/>
      <c r="M452" s="153"/>
      <c r="N452" s="151"/>
      <c r="O452" s="153"/>
      <c r="P452" s="151"/>
      <c r="Q452" s="153"/>
      <c r="R452" s="151"/>
      <c r="S452" s="153"/>
      <c r="T452" s="151"/>
      <c r="U452" s="153"/>
      <c r="V452" s="151"/>
      <c r="W452" s="153"/>
      <c r="X452" s="151"/>
      <c r="Y452" s="153"/>
      <c r="Z452" s="61">
        <f t="shared" ref="Z452:Z483" si="79">D452+F452+H452+J452+L452+P452+R452+T452+V452+X452+N452</f>
        <v>51054</v>
      </c>
      <c r="AA452" s="75">
        <f t="shared" ref="AA452:AA483" si="80">E452+G452+I452+K452+M452+Q452+S452+U452+W452+Y452+O452</f>
        <v>56766</v>
      </c>
      <c r="AB452" s="151"/>
      <c r="AC452" s="153"/>
      <c r="AD452" s="151"/>
      <c r="AE452" s="153"/>
      <c r="AF452" s="151"/>
      <c r="AG452" s="153"/>
      <c r="AH452" s="151"/>
      <c r="AI452" s="153"/>
      <c r="AJ452" s="151"/>
      <c r="AK452" s="153"/>
      <c r="AL452" s="151"/>
      <c r="AM452" s="153"/>
      <c r="AN452" s="151"/>
      <c r="AO452" s="153"/>
      <c r="AP452" s="61">
        <f t="shared" ref="AP452:AP483" si="81">Z452+AB452+AD452+AF452+AH452+AJ452+AL452+AN452</f>
        <v>51054</v>
      </c>
      <c r="AQ452" s="75">
        <f t="shared" ref="AQ452:AQ483" si="82">AA452+AC452+AE452+AG452+AI452+AK452+AM452+AO452</f>
        <v>56766</v>
      </c>
      <c r="AR452" s="150" t="s">
        <v>128</v>
      </c>
    </row>
    <row r="453" spans="1:44" x14ac:dyDescent="0.25">
      <c r="A453" s="4" t="s">
        <v>271</v>
      </c>
      <c r="B453" s="4" t="s">
        <v>77</v>
      </c>
      <c r="C453" s="5" t="s">
        <v>73</v>
      </c>
      <c r="D453" s="151">
        <v>140197</v>
      </c>
      <c r="E453" s="153">
        <v>154225</v>
      </c>
      <c r="F453" s="151">
        <v>1400</v>
      </c>
      <c r="G453" s="153">
        <v>1200</v>
      </c>
      <c r="H453" s="151">
        <v>16700</v>
      </c>
      <c r="I453" s="153">
        <v>16000</v>
      </c>
      <c r="J453" s="151">
        <v>1924</v>
      </c>
      <c r="K453" s="153">
        <v>1000</v>
      </c>
      <c r="L453" s="151">
        <v>20550</v>
      </c>
      <c r="M453" s="153">
        <v>19000</v>
      </c>
      <c r="N453" s="151">
        <v>1000</v>
      </c>
      <c r="O453" s="153">
        <v>1000</v>
      </c>
      <c r="P453" s="151"/>
      <c r="Q453" s="153"/>
      <c r="R453" s="151"/>
      <c r="S453" s="153"/>
      <c r="T453" s="151"/>
      <c r="U453" s="153"/>
      <c r="V453" s="151"/>
      <c r="W453" s="153"/>
      <c r="X453" s="151"/>
      <c r="Y453" s="153"/>
      <c r="Z453" s="61">
        <f t="shared" si="79"/>
        <v>181771</v>
      </c>
      <c r="AA453" s="75">
        <f t="shared" si="80"/>
        <v>192425</v>
      </c>
      <c r="AB453" s="151">
        <v>30</v>
      </c>
      <c r="AC453" s="153">
        <v>5</v>
      </c>
      <c r="AD453" s="151">
        <v>10200</v>
      </c>
      <c r="AE453" s="153">
        <v>9000</v>
      </c>
      <c r="AF453" s="151">
        <v>7000</v>
      </c>
      <c r="AG453" s="153">
        <v>6000</v>
      </c>
      <c r="AH453" s="151">
        <v>200</v>
      </c>
      <c r="AI453" s="153">
        <v>50</v>
      </c>
      <c r="AJ453" s="151"/>
      <c r="AK453" s="153"/>
      <c r="AL453" s="151"/>
      <c r="AM453" s="153"/>
      <c r="AN453" s="151"/>
      <c r="AO453" s="153"/>
      <c r="AP453" s="61">
        <f t="shared" si="81"/>
        <v>199201</v>
      </c>
      <c r="AQ453" s="75">
        <f t="shared" si="82"/>
        <v>207480</v>
      </c>
      <c r="AR453" s="150"/>
    </row>
    <row r="454" spans="1:44" ht="26.25" x14ac:dyDescent="0.25">
      <c r="A454" s="4" t="s">
        <v>271</v>
      </c>
      <c r="B454" s="4" t="s">
        <v>305</v>
      </c>
      <c r="C454" s="5" t="s">
        <v>73</v>
      </c>
      <c r="D454" s="151">
        <v>60308</v>
      </c>
      <c r="E454" s="153">
        <v>61266</v>
      </c>
      <c r="F454" s="151"/>
      <c r="G454" s="153"/>
      <c r="H454" s="151"/>
      <c r="I454" s="153"/>
      <c r="J454" s="151"/>
      <c r="K454" s="153"/>
      <c r="L454" s="151"/>
      <c r="M454" s="153"/>
      <c r="N454" s="151"/>
      <c r="O454" s="153"/>
      <c r="P454" s="151"/>
      <c r="Q454" s="153"/>
      <c r="R454" s="151"/>
      <c r="S454" s="153"/>
      <c r="T454" s="151"/>
      <c r="U454" s="153"/>
      <c r="V454" s="151"/>
      <c r="W454" s="153"/>
      <c r="X454" s="151"/>
      <c r="Y454" s="153"/>
      <c r="Z454" s="61">
        <f t="shared" si="79"/>
        <v>60308</v>
      </c>
      <c r="AA454" s="75">
        <f t="shared" si="80"/>
        <v>61266</v>
      </c>
      <c r="AB454" s="151"/>
      <c r="AC454" s="153"/>
      <c r="AD454" s="151"/>
      <c r="AE454" s="153"/>
      <c r="AF454" s="151"/>
      <c r="AG454" s="153"/>
      <c r="AH454" s="151"/>
      <c r="AI454" s="153"/>
      <c r="AJ454" s="151"/>
      <c r="AK454" s="153"/>
      <c r="AL454" s="151"/>
      <c r="AM454" s="153"/>
      <c r="AN454" s="151"/>
      <c r="AO454" s="153"/>
      <c r="AP454" s="61">
        <f t="shared" si="81"/>
        <v>60308</v>
      </c>
      <c r="AQ454" s="75">
        <f t="shared" si="82"/>
        <v>61266</v>
      </c>
      <c r="AR454" s="150" t="s">
        <v>74</v>
      </c>
    </row>
    <row r="455" spans="1:44" ht="26.25" x14ac:dyDescent="0.25">
      <c r="A455" s="4" t="s">
        <v>271</v>
      </c>
      <c r="B455" s="4" t="s">
        <v>306</v>
      </c>
      <c r="C455" s="6" t="s">
        <v>73</v>
      </c>
      <c r="D455" s="151">
        <v>28981</v>
      </c>
      <c r="E455" s="153">
        <v>13839</v>
      </c>
      <c r="F455" s="151"/>
      <c r="G455" s="153"/>
      <c r="H455" s="151"/>
      <c r="I455" s="153"/>
      <c r="J455" s="151"/>
      <c r="K455" s="153"/>
      <c r="L455" s="151"/>
      <c r="M455" s="153"/>
      <c r="N455" s="151"/>
      <c r="O455" s="153"/>
      <c r="P455" s="151"/>
      <c r="Q455" s="153"/>
      <c r="R455" s="151"/>
      <c r="S455" s="153"/>
      <c r="T455" s="151"/>
      <c r="U455" s="153"/>
      <c r="V455" s="151"/>
      <c r="W455" s="153"/>
      <c r="X455" s="151"/>
      <c r="Y455" s="153"/>
      <c r="Z455" s="61">
        <f t="shared" si="79"/>
        <v>28981</v>
      </c>
      <c r="AA455" s="75">
        <f t="shared" si="80"/>
        <v>13839</v>
      </c>
      <c r="AB455" s="151"/>
      <c r="AC455" s="153"/>
      <c r="AD455" s="151"/>
      <c r="AE455" s="153"/>
      <c r="AF455" s="151"/>
      <c r="AG455" s="153"/>
      <c r="AH455" s="151"/>
      <c r="AI455" s="153"/>
      <c r="AJ455" s="151"/>
      <c r="AK455" s="153"/>
      <c r="AL455" s="151"/>
      <c r="AM455" s="153"/>
      <c r="AN455" s="151"/>
      <c r="AO455" s="153"/>
      <c r="AP455" s="61">
        <f t="shared" si="81"/>
        <v>28981</v>
      </c>
      <c r="AQ455" s="75">
        <f t="shared" si="82"/>
        <v>13839</v>
      </c>
      <c r="AR455" s="150" t="s">
        <v>74</v>
      </c>
    </row>
    <row r="456" spans="1:44" x14ac:dyDescent="0.25">
      <c r="A456" s="4" t="s">
        <v>271</v>
      </c>
      <c r="B456" s="4" t="s">
        <v>307</v>
      </c>
      <c r="C456" s="6" t="s">
        <v>73</v>
      </c>
      <c r="D456" s="151">
        <v>11525</v>
      </c>
      <c r="E456" s="153">
        <v>11954</v>
      </c>
      <c r="F456" s="151">
        <v>1000</v>
      </c>
      <c r="G456" s="153">
        <v>1600</v>
      </c>
      <c r="H456" s="151">
        <v>6600</v>
      </c>
      <c r="I456" s="153">
        <v>5500</v>
      </c>
      <c r="J456" s="151">
        <v>276</v>
      </c>
      <c r="K456" s="153">
        <v>200</v>
      </c>
      <c r="L456" s="151">
        <v>2300</v>
      </c>
      <c r="M456" s="153">
        <v>2450</v>
      </c>
      <c r="N456" s="151">
        <v>200</v>
      </c>
      <c r="O456" s="153">
        <v>200</v>
      </c>
      <c r="P456" s="151"/>
      <c r="Q456" s="153"/>
      <c r="R456" s="151"/>
      <c r="S456" s="153"/>
      <c r="T456" s="151"/>
      <c r="U456" s="153"/>
      <c r="V456" s="151"/>
      <c r="W456" s="153"/>
      <c r="X456" s="151"/>
      <c r="Y456" s="153"/>
      <c r="Z456" s="61">
        <f t="shared" si="79"/>
        <v>21901</v>
      </c>
      <c r="AA456" s="75">
        <f t="shared" si="80"/>
        <v>21904</v>
      </c>
      <c r="AB456" s="151"/>
      <c r="AC456" s="153"/>
      <c r="AD456" s="151">
        <v>16000</v>
      </c>
      <c r="AE456" s="153">
        <v>15000</v>
      </c>
      <c r="AF456" s="151">
        <v>1500</v>
      </c>
      <c r="AG456" s="153">
        <v>1000</v>
      </c>
      <c r="AH456" s="151"/>
      <c r="AI456" s="153"/>
      <c r="AJ456" s="151"/>
      <c r="AK456" s="153"/>
      <c r="AL456" s="151"/>
      <c r="AM456" s="153"/>
      <c r="AN456" s="151"/>
      <c r="AO456" s="153"/>
      <c r="AP456" s="61">
        <f t="shared" si="81"/>
        <v>39401</v>
      </c>
      <c r="AQ456" s="75">
        <f t="shared" si="82"/>
        <v>37904</v>
      </c>
      <c r="AR456" s="150" t="s">
        <v>74</v>
      </c>
    </row>
    <row r="457" spans="1:44" x14ac:dyDescent="0.25">
      <c r="A457" s="4" t="s">
        <v>271</v>
      </c>
      <c r="B457" s="4" t="s">
        <v>126</v>
      </c>
      <c r="C457" s="5" t="s">
        <v>73</v>
      </c>
      <c r="D457" s="151">
        <v>120541</v>
      </c>
      <c r="E457" s="153">
        <v>129176</v>
      </c>
      <c r="F457" s="151">
        <v>1400</v>
      </c>
      <c r="G457" s="153">
        <v>1400</v>
      </c>
      <c r="H457" s="151">
        <v>6200</v>
      </c>
      <c r="I457" s="153">
        <v>6000</v>
      </c>
      <c r="J457" s="151">
        <v>600</v>
      </c>
      <c r="K457" s="153">
        <v>600</v>
      </c>
      <c r="L457" s="151">
        <v>6670</v>
      </c>
      <c r="M457" s="153">
        <v>6000</v>
      </c>
      <c r="N457" s="151">
        <v>170</v>
      </c>
      <c r="O457" s="153">
        <v>50</v>
      </c>
      <c r="P457" s="151"/>
      <c r="Q457" s="153"/>
      <c r="R457" s="151"/>
      <c r="S457" s="153"/>
      <c r="T457" s="151"/>
      <c r="U457" s="153"/>
      <c r="V457" s="151"/>
      <c r="W457" s="153"/>
      <c r="X457" s="151"/>
      <c r="Y457" s="153"/>
      <c r="Z457" s="61">
        <f t="shared" si="79"/>
        <v>135581</v>
      </c>
      <c r="AA457" s="75">
        <f t="shared" si="80"/>
        <v>143226</v>
      </c>
      <c r="AB457" s="151">
        <v>420</v>
      </c>
      <c r="AC457" s="153">
        <v>200</v>
      </c>
      <c r="AD457" s="151">
        <v>8087</v>
      </c>
      <c r="AE457" s="153">
        <f>7600+1760</f>
        <v>9360</v>
      </c>
      <c r="AF457" s="151">
        <v>3818</v>
      </c>
      <c r="AG457" s="153">
        <v>3400</v>
      </c>
      <c r="AH457" s="151">
        <v>14952</v>
      </c>
      <c r="AI457" s="153">
        <v>14784</v>
      </c>
      <c r="AJ457" s="151"/>
      <c r="AK457" s="153"/>
      <c r="AL457" s="151"/>
      <c r="AM457" s="153"/>
      <c r="AN457" s="151"/>
      <c r="AO457" s="153"/>
      <c r="AP457" s="61">
        <f t="shared" si="81"/>
        <v>162858</v>
      </c>
      <c r="AQ457" s="75">
        <f t="shared" si="82"/>
        <v>170970</v>
      </c>
      <c r="AR457" s="150" t="s">
        <v>74</v>
      </c>
    </row>
    <row r="458" spans="1:44" x14ac:dyDescent="0.25">
      <c r="A458" s="4" t="s">
        <v>271</v>
      </c>
      <c r="B458" s="4" t="s">
        <v>308</v>
      </c>
      <c r="C458" s="5" t="s">
        <v>73</v>
      </c>
      <c r="D458" s="151">
        <v>175399</v>
      </c>
      <c r="E458" s="153">
        <v>200527</v>
      </c>
      <c r="F458" s="151">
        <v>1300</v>
      </c>
      <c r="G458" s="153">
        <v>1100</v>
      </c>
      <c r="H458" s="151">
        <v>12500</v>
      </c>
      <c r="I458" s="153">
        <v>14000</v>
      </c>
      <c r="J458" s="151">
        <v>500</v>
      </c>
      <c r="K458" s="153">
        <v>400</v>
      </c>
      <c r="L458" s="151">
        <v>5000</v>
      </c>
      <c r="M458" s="153">
        <v>4900</v>
      </c>
      <c r="N458" s="151">
        <v>600</v>
      </c>
      <c r="O458" s="153">
        <v>600</v>
      </c>
      <c r="P458" s="151"/>
      <c r="Q458" s="153"/>
      <c r="R458" s="151"/>
      <c r="S458" s="153"/>
      <c r="T458" s="151"/>
      <c r="U458" s="153"/>
      <c r="V458" s="151"/>
      <c r="W458" s="153"/>
      <c r="X458" s="151"/>
      <c r="Y458" s="153"/>
      <c r="Z458" s="61">
        <f t="shared" ref="Z458:Z459" si="83">D458+F458+H458+J458+L458+P458+R458+T458+V458+X458+N458</f>
        <v>195299</v>
      </c>
      <c r="AA458" s="75">
        <f t="shared" ref="AA458:AA459" si="84">E458+G458+I458+K458+M458+Q458+S458+U458+W458+Y458+O458</f>
        <v>221527</v>
      </c>
      <c r="AB458" s="151">
        <v>650</v>
      </c>
      <c r="AC458" s="153">
        <v>600</v>
      </c>
      <c r="AD458" s="151">
        <v>10000</v>
      </c>
      <c r="AE458" s="153">
        <v>8000</v>
      </c>
      <c r="AF458" s="151">
        <v>8000</v>
      </c>
      <c r="AG458" s="153">
        <f>2000+4900</f>
        <v>6900</v>
      </c>
      <c r="AH458" s="151">
        <v>300</v>
      </c>
      <c r="AI458" s="153">
        <v>100</v>
      </c>
      <c r="AJ458" s="151"/>
      <c r="AK458" s="153"/>
      <c r="AL458" s="151"/>
      <c r="AM458" s="153"/>
      <c r="AN458" s="151"/>
      <c r="AO458" s="153"/>
      <c r="AP458" s="61">
        <f t="shared" si="81"/>
        <v>214249</v>
      </c>
      <c r="AQ458" s="75">
        <f t="shared" si="82"/>
        <v>237127</v>
      </c>
      <c r="AR458" s="150" t="s">
        <v>74</v>
      </c>
    </row>
    <row r="459" spans="1:44" s="149" customFormat="1" ht="39" x14ac:dyDescent="0.25">
      <c r="A459" s="4" t="s">
        <v>271</v>
      </c>
      <c r="B459" s="44" t="s">
        <v>309</v>
      </c>
      <c r="C459" s="5" t="s">
        <v>73</v>
      </c>
      <c r="D459" s="151"/>
      <c r="E459" s="153">
        <f>2350+118</f>
        <v>2468</v>
      </c>
      <c r="F459" s="151"/>
      <c r="G459" s="153"/>
      <c r="H459" s="151"/>
      <c r="I459" s="153"/>
      <c r="J459" s="151"/>
      <c r="K459" s="153"/>
      <c r="L459" s="151"/>
      <c r="M459" s="153"/>
      <c r="N459" s="151"/>
      <c r="O459" s="153"/>
      <c r="P459" s="151"/>
      <c r="Q459" s="153"/>
      <c r="R459" s="151"/>
      <c r="S459" s="153"/>
      <c r="T459" s="151"/>
      <c r="U459" s="153"/>
      <c r="V459" s="151"/>
      <c r="W459" s="153"/>
      <c r="X459" s="151"/>
      <c r="Y459" s="153"/>
      <c r="Z459" s="61">
        <f t="shared" si="83"/>
        <v>0</v>
      </c>
      <c r="AA459" s="75">
        <f t="shared" si="84"/>
        <v>2468</v>
      </c>
      <c r="AB459" s="151"/>
      <c r="AC459" s="153">
        <v>200</v>
      </c>
      <c r="AD459" s="151"/>
      <c r="AE459" s="153">
        <v>940</v>
      </c>
      <c r="AF459" s="151"/>
      <c r="AG459" s="153">
        <v>1491</v>
      </c>
      <c r="AH459" s="151"/>
      <c r="AI459" s="153"/>
      <c r="AJ459" s="151"/>
      <c r="AK459" s="153"/>
      <c r="AL459" s="151"/>
      <c r="AM459" s="153"/>
      <c r="AN459" s="151"/>
      <c r="AO459" s="153"/>
      <c r="AP459" s="61">
        <f t="shared" ref="AP459" si="85">Z459+AB459+AD459+AF459+AH459+AJ459+AL459+AN459</f>
        <v>0</v>
      </c>
      <c r="AQ459" s="75">
        <f t="shared" ref="AQ459" si="86">AA459+AC459+AE459+AG459+AI459+AK459+AM459+AO459</f>
        <v>5099</v>
      </c>
      <c r="AR459" s="150"/>
    </row>
    <row r="460" spans="1:44" ht="26.25" x14ac:dyDescent="0.25">
      <c r="A460" s="4" t="s">
        <v>271</v>
      </c>
      <c r="B460" s="4" t="s">
        <v>310</v>
      </c>
      <c r="C460" s="5" t="s">
        <v>311</v>
      </c>
      <c r="D460" s="151"/>
      <c r="E460" s="153"/>
      <c r="F460" s="151"/>
      <c r="G460" s="153"/>
      <c r="H460" s="151"/>
      <c r="I460" s="153"/>
      <c r="J460" s="151"/>
      <c r="K460" s="153"/>
      <c r="L460" s="151"/>
      <c r="M460" s="153"/>
      <c r="N460" s="151"/>
      <c r="O460" s="153"/>
      <c r="P460" s="151"/>
      <c r="Q460" s="153"/>
      <c r="R460" s="151"/>
      <c r="S460" s="153"/>
      <c r="T460" s="151"/>
      <c r="U460" s="153"/>
      <c r="V460" s="151"/>
      <c r="W460" s="153"/>
      <c r="X460" s="151"/>
      <c r="Y460" s="153"/>
      <c r="Z460" s="61">
        <f t="shared" si="79"/>
        <v>0</v>
      </c>
      <c r="AA460" s="75">
        <f t="shared" si="80"/>
        <v>0</v>
      </c>
      <c r="AB460" s="151"/>
      <c r="AC460" s="153"/>
      <c r="AD460" s="151"/>
      <c r="AE460" s="153"/>
      <c r="AF460" s="151"/>
      <c r="AG460" s="153"/>
      <c r="AH460" s="151"/>
      <c r="AI460" s="153"/>
      <c r="AJ460" s="151"/>
      <c r="AK460" s="153"/>
      <c r="AL460" s="151">
        <v>540</v>
      </c>
      <c r="AM460" s="153">
        <v>540</v>
      </c>
      <c r="AN460" s="151"/>
      <c r="AO460" s="153"/>
      <c r="AP460" s="61">
        <f t="shared" si="81"/>
        <v>540</v>
      </c>
      <c r="AQ460" s="75">
        <f t="shared" si="82"/>
        <v>540</v>
      </c>
      <c r="AR460" s="150"/>
    </row>
    <row r="461" spans="1:44" x14ac:dyDescent="0.25">
      <c r="A461" s="4" t="s">
        <v>271</v>
      </c>
      <c r="B461" s="4" t="s">
        <v>312</v>
      </c>
      <c r="C461" s="5" t="s">
        <v>311</v>
      </c>
      <c r="D461" s="151"/>
      <c r="E461" s="153"/>
      <c r="F461" s="151"/>
      <c r="G461" s="153"/>
      <c r="H461" s="151"/>
      <c r="I461" s="153"/>
      <c r="J461" s="151"/>
      <c r="K461" s="153"/>
      <c r="L461" s="151"/>
      <c r="M461" s="153"/>
      <c r="N461" s="151"/>
      <c r="O461" s="153"/>
      <c r="P461" s="151"/>
      <c r="Q461" s="153"/>
      <c r="R461" s="151"/>
      <c r="S461" s="153"/>
      <c r="T461" s="151"/>
      <c r="U461" s="153"/>
      <c r="V461" s="151"/>
      <c r="W461" s="153"/>
      <c r="X461" s="151"/>
      <c r="Y461" s="153"/>
      <c r="Z461" s="61">
        <f t="shared" si="79"/>
        <v>0</v>
      </c>
      <c r="AA461" s="75">
        <f t="shared" si="80"/>
        <v>0</v>
      </c>
      <c r="AB461" s="151"/>
      <c r="AC461" s="153"/>
      <c r="AD461" s="151"/>
      <c r="AE461" s="153"/>
      <c r="AF461" s="151"/>
      <c r="AG461" s="153"/>
      <c r="AH461" s="151"/>
      <c r="AI461" s="153"/>
      <c r="AJ461" s="151"/>
      <c r="AK461" s="153"/>
      <c r="AL461" s="151">
        <v>711</v>
      </c>
      <c r="AM461" s="153">
        <v>711</v>
      </c>
      <c r="AN461" s="151"/>
      <c r="AO461" s="153"/>
      <c r="AP461" s="61">
        <f t="shared" si="81"/>
        <v>711</v>
      </c>
      <c r="AQ461" s="75">
        <f t="shared" si="82"/>
        <v>711</v>
      </c>
      <c r="AR461" s="150"/>
    </row>
    <row r="462" spans="1:44" x14ac:dyDescent="0.25">
      <c r="A462" s="4" t="s">
        <v>271</v>
      </c>
      <c r="B462" s="4" t="s">
        <v>313</v>
      </c>
      <c r="C462" s="5" t="s">
        <v>165</v>
      </c>
      <c r="D462" s="151"/>
      <c r="E462" s="153"/>
      <c r="F462" s="151"/>
      <c r="G462" s="153"/>
      <c r="H462" s="151">
        <v>15000</v>
      </c>
      <c r="I462" s="153">
        <v>15000</v>
      </c>
      <c r="J462" s="151">
        <v>500</v>
      </c>
      <c r="K462" s="153">
        <v>500</v>
      </c>
      <c r="L462" s="151">
        <v>7000</v>
      </c>
      <c r="M462" s="153">
        <v>7000</v>
      </c>
      <c r="N462" s="151"/>
      <c r="O462" s="153"/>
      <c r="P462" s="151"/>
      <c r="Q462" s="153"/>
      <c r="R462" s="151"/>
      <c r="S462" s="153"/>
      <c r="T462" s="151"/>
      <c r="U462" s="153"/>
      <c r="V462" s="151"/>
      <c r="W462" s="153"/>
      <c r="X462" s="151"/>
      <c r="Y462" s="153"/>
      <c r="Z462" s="61">
        <f t="shared" si="79"/>
        <v>22500</v>
      </c>
      <c r="AA462" s="75">
        <f t="shared" si="80"/>
        <v>22500</v>
      </c>
      <c r="AB462" s="151"/>
      <c r="AC462" s="153"/>
      <c r="AD462" s="151">
        <v>7464</v>
      </c>
      <c r="AE462" s="153">
        <v>7464</v>
      </c>
      <c r="AF462" s="151">
        <v>1500</v>
      </c>
      <c r="AG462" s="153">
        <v>1500</v>
      </c>
      <c r="AH462" s="151"/>
      <c r="AI462" s="153"/>
      <c r="AJ462" s="151"/>
      <c r="AK462" s="153"/>
      <c r="AL462" s="151"/>
      <c r="AM462" s="153"/>
      <c r="AN462" s="151"/>
      <c r="AO462" s="153"/>
      <c r="AP462" s="61">
        <f t="shared" si="81"/>
        <v>31464</v>
      </c>
      <c r="AQ462" s="75">
        <f t="shared" si="82"/>
        <v>31464</v>
      </c>
      <c r="AR462" s="150" t="s">
        <v>314</v>
      </c>
    </row>
    <row r="463" spans="1:44" ht="26.25" x14ac:dyDescent="0.25">
      <c r="A463" s="4" t="s">
        <v>271</v>
      </c>
      <c r="B463" s="4" t="s">
        <v>315</v>
      </c>
      <c r="C463" s="5" t="s">
        <v>165</v>
      </c>
      <c r="D463" s="151"/>
      <c r="E463" s="153"/>
      <c r="F463" s="151"/>
      <c r="G463" s="153"/>
      <c r="H463" s="151"/>
      <c r="I463" s="153"/>
      <c r="J463" s="151">
        <v>150</v>
      </c>
      <c r="K463" s="153">
        <v>150</v>
      </c>
      <c r="L463" s="151">
        <v>320</v>
      </c>
      <c r="M463" s="153">
        <v>320</v>
      </c>
      <c r="N463" s="151"/>
      <c r="O463" s="153"/>
      <c r="P463" s="151"/>
      <c r="Q463" s="153"/>
      <c r="R463" s="151"/>
      <c r="S463" s="153"/>
      <c r="T463" s="151"/>
      <c r="U463" s="153"/>
      <c r="V463" s="151"/>
      <c r="W463" s="153"/>
      <c r="X463" s="151"/>
      <c r="Y463" s="153"/>
      <c r="Z463" s="61">
        <f t="shared" si="79"/>
        <v>470</v>
      </c>
      <c r="AA463" s="75">
        <f t="shared" si="80"/>
        <v>470</v>
      </c>
      <c r="AB463" s="151"/>
      <c r="AC463" s="153"/>
      <c r="AD463" s="151">
        <v>9500</v>
      </c>
      <c r="AE463" s="153">
        <v>9500</v>
      </c>
      <c r="AF463" s="151">
        <v>500</v>
      </c>
      <c r="AG463" s="153">
        <v>500</v>
      </c>
      <c r="AH463" s="151"/>
      <c r="AI463" s="153"/>
      <c r="AJ463" s="151"/>
      <c r="AK463" s="153"/>
      <c r="AL463" s="151"/>
      <c r="AM463" s="153"/>
      <c r="AN463" s="151"/>
      <c r="AO463" s="153"/>
      <c r="AP463" s="61">
        <f t="shared" si="81"/>
        <v>10470</v>
      </c>
      <c r="AQ463" s="75">
        <f t="shared" si="82"/>
        <v>10470</v>
      </c>
      <c r="AR463" s="150" t="s">
        <v>314</v>
      </c>
    </row>
    <row r="464" spans="1:44" ht="26.25" x14ac:dyDescent="0.25">
      <c r="A464" s="4" t="s">
        <v>271</v>
      </c>
      <c r="B464" s="4" t="s">
        <v>316</v>
      </c>
      <c r="C464" s="5" t="s">
        <v>60</v>
      </c>
      <c r="D464" s="151"/>
      <c r="E464" s="153"/>
      <c r="F464" s="151"/>
      <c r="G464" s="153"/>
      <c r="H464" s="151"/>
      <c r="I464" s="153"/>
      <c r="J464" s="151">
        <v>50</v>
      </c>
      <c r="K464" s="153">
        <v>50</v>
      </c>
      <c r="L464" s="151">
        <v>770</v>
      </c>
      <c r="M464" s="153">
        <v>770</v>
      </c>
      <c r="N464" s="151"/>
      <c r="O464" s="153"/>
      <c r="P464" s="151"/>
      <c r="Q464" s="153"/>
      <c r="R464" s="151"/>
      <c r="S464" s="153"/>
      <c r="T464" s="151"/>
      <c r="U464" s="153"/>
      <c r="V464" s="151"/>
      <c r="W464" s="153"/>
      <c r="X464" s="151"/>
      <c r="Y464" s="153"/>
      <c r="Z464" s="61">
        <f t="shared" si="79"/>
        <v>820</v>
      </c>
      <c r="AA464" s="75">
        <f t="shared" si="80"/>
        <v>820</v>
      </c>
      <c r="AB464" s="151"/>
      <c r="AC464" s="153"/>
      <c r="AD464" s="151">
        <v>8500</v>
      </c>
      <c r="AE464" s="153">
        <v>8500</v>
      </c>
      <c r="AF464" s="151">
        <v>1000</v>
      </c>
      <c r="AG464" s="153">
        <v>1000</v>
      </c>
      <c r="AH464" s="151"/>
      <c r="AI464" s="153"/>
      <c r="AJ464" s="151"/>
      <c r="AK464" s="153"/>
      <c r="AL464" s="151"/>
      <c r="AM464" s="153"/>
      <c r="AN464" s="151"/>
      <c r="AO464" s="153"/>
      <c r="AP464" s="61">
        <f t="shared" si="81"/>
        <v>10320</v>
      </c>
      <c r="AQ464" s="75">
        <f t="shared" si="82"/>
        <v>10320</v>
      </c>
      <c r="AR464" s="150" t="s">
        <v>314</v>
      </c>
    </row>
    <row r="465" spans="1:44" ht="26.25" x14ac:dyDescent="0.25">
      <c r="A465" s="4" t="s">
        <v>271</v>
      </c>
      <c r="B465" s="4" t="s">
        <v>317</v>
      </c>
      <c r="C465" s="5" t="s">
        <v>165</v>
      </c>
      <c r="D465" s="151"/>
      <c r="E465" s="153"/>
      <c r="F465" s="151"/>
      <c r="G465" s="153"/>
      <c r="H465" s="151">
        <v>3800</v>
      </c>
      <c r="I465" s="153">
        <v>3000</v>
      </c>
      <c r="J465" s="151"/>
      <c r="K465" s="153"/>
      <c r="L465" s="151"/>
      <c r="M465" s="153"/>
      <c r="N465" s="151"/>
      <c r="O465" s="153"/>
      <c r="P465" s="151"/>
      <c r="Q465" s="153"/>
      <c r="R465" s="151"/>
      <c r="S465" s="153"/>
      <c r="T465" s="151"/>
      <c r="U465" s="153"/>
      <c r="V465" s="151"/>
      <c r="W465" s="153"/>
      <c r="X465" s="151"/>
      <c r="Y465" s="153"/>
      <c r="Z465" s="61">
        <f t="shared" si="79"/>
        <v>3800</v>
      </c>
      <c r="AA465" s="75">
        <f t="shared" si="80"/>
        <v>3000</v>
      </c>
      <c r="AB465" s="151"/>
      <c r="AC465" s="153"/>
      <c r="AD465" s="151">
        <v>2710</v>
      </c>
      <c r="AE465" s="153">
        <v>1700</v>
      </c>
      <c r="AF465" s="151"/>
      <c r="AG465" s="153"/>
      <c r="AH465" s="151"/>
      <c r="AI465" s="153"/>
      <c r="AJ465" s="151"/>
      <c r="AK465" s="153"/>
      <c r="AL465" s="151"/>
      <c r="AM465" s="153"/>
      <c r="AN465" s="151"/>
      <c r="AO465" s="153"/>
      <c r="AP465" s="61">
        <f t="shared" si="81"/>
        <v>6510</v>
      </c>
      <c r="AQ465" s="75">
        <f t="shared" si="82"/>
        <v>4700</v>
      </c>
      <c r="AR465" s="150" t="s">
        <v>314</v>
      </c>
    </row>
    <row r="466" spans="1:44" ht="26.25" x14ac:dyDescent="0.25">
      <c r="A466" s="4" t="s">
        <v>271</v>
      </c>
      <c r="B466" s="4" t="s">
        <v>65</v>
      </c>
      <c r="C466" s="5" t="s">
        <v>60</v>
      </c>
      <c r="D466" s="151">
        <v>527239</v>
      </c>
      <c r="E466" s="153">
        <v>519241</v>
      </c>
      <c r="F466" s="151">
        <v>1100</v>
      </c>
      <c r="G466" s="153">
        <v>1000</v>
      </c>
      <c r="H466" s="151">
        <v>10000</v>
      </c>
      <c r="I466" s="153">
        <v>10000</v>
      </c>
      <c r="J466" s="151">
        <v>3500</v>
      </c>
      <c r="K466" s="153">
        <v>2500</v>
      </c>
      <c r="L466" s="151">
        <v>8000</v>
      </c>
      <c r="M466" s="153">
        <v>4500</v>
      </c>
      <c r="N466" s="151">
        <v>25000</v>
      </c>
      <c r="O466" s="153">
        <v>25000</v>
      </c>
      <c r="P466" s="151"/>
      <c r="Q466" s="153"/>
      <c r="R466" s="151">
        <v>103000</v>
      </c>
      <c r="S466" s="153">
        <v>98000</v>
      </c>
      <c r="T466" s="151"/>
      <c r="U466" s="153"/>
      <c r="V466" s="151"/>
      <c r="W466" s="153"/>
      <c r="X466" s="151">
        <v>2700</v>
      </c>
      <c r="Y466" s="153">
        <v>2700</v>
      </c>
      <c r="Z466" s="61">
        <f t="shared" si="79"/>
        <v>680539</v>
      </c>
      <c r="AA466" s="75">
        <f t="shared" si="80"/>
        <v>662941</v>
      </c>
      <c r="AB466" s="151">
        <v>1020</v>
      </c>
      <c r="AC466" s="153">
        <v>100</v>
      </c>
      <c r="AD466" s="151">
        <v>51800</v>
      </c>
      <c r="AE466" s="153">
        <v>51000</v>
      </c>
      <c r="AF466" s="151">
        <v>82858</v>
      </c>
      <c r="AG466" s="153">
        <v>80800</v>
      </c>
      <c r="AH466" s="151"/>
      <c r="AI466" s="153"/>
      <c r="AJ466" s="151">
        <v>10000</v>
      </c>
      <c r="AK466" s="153"/>
      <c r="AL466" s="151"/>
      <c r="AM466" s="153"/>
      <c r="AN466" s="151"/>
      <c r="AO466" s="153"/>
      <c r="AP466" s="61">
        <f t="shared" si="81"/>
        <v>826217</v>
      </c>
      <c r="AQ466" s="75">
        <f t="shared" si="82"/>
        <v>794841</v>
      </c>
      <c r="AR466" s="150" t="s">
        <v>314</v>
      </c>
    </row>
    <row r="467" spans="1:44" ht="26.25" x14ac:dyDescent="0.25">
      <c r="A467" s="4" t="s">
        <v>271</v>
      </c>
      <c r="B467" s="4" t="s">
        <v>318</v>
      </c>
      <c r="C467" s="5" t="s">
        <v>60</v>
      </c>
      <c r="D467" s="151"/>
      <c r="E467" s="153"/>
      <c r="F467" s="151"/>
      <c r="G467" s="153"/>
      <c r="H467" s="151"/>
      <c r="I467" s="153"/>
      <c r="J467" s="151"/>
      <c r="K467" s="153"/>
      <c r="L467" s="151"/>
      <c r="M467" s="153"/>
      <c r="N467" s="151"/>
      <c r="O467" s="153"/>
      <c r="P467" s="151"/>
      <c r="Q467" s="153"/>
      <c r="R467" s="151"/>
      <c r="S467" s="153"/>
      <c r="T467" s="151"/>
      <c r="U467" s="153"/>
      <c r="V467" s="151"/>
      <c r="W467" s="153"/>
      <c r="X467" s="151"/>
      <c r="Y467" s="153"/>
      <c r="Z467" s="61">
        <f t="shared" si="79"/>
        <v>0</v>
      </c>
      <c r="AA467" s="75">
        <f t="shared" si="80"/>
        <v>0</v>
      </c>
      <c r="AB467" s="151"/>
      <c r="AC467" s="153"/>
      <c r="AD467" s="151">
        <v>17975</v>
      </c>
      <c r="AE467" s="153">
        <v>34700</v>
      </c>
      <c r="AF467" s="151">
        <v>4260</v>
      </c>
      <c r="AG467" s="153">
        <v>2320</v>
      </c>
      <c r="AH467" s="151"/>
      <c r="AI467" s="153"/>
      <c r="AJ467" s="151"/>
      <c r="AK467" s="153"/>
      <c r="AL467" s="151"/>
      <c r="AM467" s="153">
        <v>200</v>
      </c>
      <c r="AN467" s="151"/>
      <c r="AO467" s="153"/>
      <c r="AP467" s="61">
        <f t="shared" si="81"/>
        <v>22235</v>
      </c>
      <c r="AQ467" s="75">
        <f t="shared" si="82"/>
        <v>37220</v>
      </c>
      <c r="AR467" s="150" t="s">
        <v>319</v>
      </c>
    </row>
    <row r="468" spans="1:44" ht="39" x14ac:dyDescent="0.25">
      <c r="A468" s="4" t="s">
        <v>271</v>
      </c>
      <c r="B468" s="4" t="s">
        <v>320</v>
      </c>
      <c r="C468" s="5" t="s">
        <v>60</v>
      </c>
      <c r="D468" s="151"/>
      <c r="E468" s="153"/>
      <c r="F468" s="151"/>
      <c r="G468" s="153"/>
      <c r="H468" s="151"/>
      <c r="I468" s="153"/>
      <c r="J468" s="151"/>
      <c r="K468" s="153"/>
      <c r="L468" s="151"/>
      <c r="M468" s="153"/>
      <c r="N468" s="151"/>
      <c r="O468" s="153"/>
      <c r="P468" s="151"/>
      <c r="Q468" s="153"/>
      <c r="R468" s="151"/>
      <c r="S468" s="153"/>
      <c r="T468" s="151"/>
      <c r="U468" s="153"/>
      <c r="V468" s="151"/>
      <c r="W468" s="153"/>
      <c r="X468" s="151"/>
      <c r="Y468" s="153"/>
      <c r="Z468" s="61">
        <f t="shared" si="79"/>
        <v>0</v>
      </c>
      <c r="AA468" s="75">
        <f t="shared" si="80"/>
        <v>0</v>
      </c>
      <c r="AB468" s="151"/>
      <c r="AC468" s="153"/>
      <c r="AD468" s="151">
        <v>6000</v>
      </c>
      <c r="AE468" s="153">
        <v>5600</v>
      </c>
      <c r="AF468" s="151"/>
      <c r="AG468" s="153"/>
      <c r="AH468" s="151"/>
      <c r="AI468" s="153"/>
      <c r="AJ468" s="151"/>
      <c r="AK468" s="153"/>
      <c r="AL468" s="151"/>
      <c r="AM468" s="153"/>
      <c r="AN468" s="151"/>
      <c r="AO468" s="153"/>
      <c r="AP468" s="61">
        <f t="shared" si="81"/>
        <v>6000</v>
      </c>
      <c r="AQ468" s="75">
        <f t="shared" si="82"/>
        <v>5600</v>
      </c>
      <c r="AR468" s="150" t="s">
        <v>314</v>
      </c>
    </row>
    <row r="469" spans="1:44" ht="26.25" x14ac:dyDescent="0.25">
      <c r="A469" s="4" t="s">
        <v>271</v>
      </c>
      <c r="B469" s="4" t="s">
        <v>62</v>
      </c>
      <c r="C469" s="5" t="s">
        <v>60</v>
      </c>
      <c r="D469" s="151"/>
      <c r="E469" s="153"/>
      <c r="F469" s="151"/>
      <c r="G469" s="153"/>
      <c r="H469" s="151"/>
      <c r="I469" s="153"/>
      <c r="J469" s="151"/>
      <c r="K469" s="153"/>
      <c r="L469" s="151"/>
      <c r="M469" s="153"/>
      <c r="N469" s="151"/>
      <c r="O469" s="153"/>
      <c r="P469" s="151"/>
      <c r="Q469" s="153"/>
      <c r="R469" s="151"/>
      <c r="S469" s="153"/>
      <c r="T469" s="151"/>
      <c r="U469" s="153"/>
      <c r="V469" s="151"/>
      <c r="W469" s="153"/>
      <c r="X469" s="151"/>
      <c r="Y469" s="153"/>
      <c r="Z469" s="61">
        <f t="shared" si="79"/>
        <v>0</v>
      </c>
      <c r="AA469" s="75">
        <f t="shared" si="80"/>
        <v>0</v>
      </c>
      <c r="AB469" s="151"/>
      <c r="AC469" s="153"/>
      <c r="AD469" s="151">
        <v>111104</v>
      </c>
      <c r="AE469" s="153">
        <f>157388-AG469</f>
        <v>146388</v>
      </c>
      <c r="AF469" s="151">
        <v>11000</v>
      </c>
      <c r="AG469" s="153">
        <v>11000</v>
      </c>
      <c r="AH469" s="151"/>
      <c r="AI469" s="153"/>
      <c r="AJ469" s="151"/>
      <c r="AK469" s="153"/>
      <c r="AL469" s="151"/>
      <c r="AM469" s="153"/>
      <c r="AN469" s="151"/>
      <c r="AO469" s="153"/>
      <c r="AP469" s="61">
        <f t="shared" si="81"/>
        <v>122104</v>
      </c>
      <c r="AQ469" s="75">
        <f t="shared" si="82"/>
        <v>157388</v>
      </c>
      <c r="AR469" s="150" t="s">
        <v>63</v>
      </c>
    </row>
    <row r="470" spans="1:44" x14ac:dyDescent="0.25">
      <c r="A470" s="4" t="s">
        <v>271</v>
      </c>
      <c r="B470" s="4" t="s">
        <v>64</v>
      </c>
      <c r="C470" s="5" t="s">
        <v>60</v>
      </c>
      <c r="D470" s="151">
        <v>32640</v>
      </c>
      <c r="E470" s="153">
        <v>45278</v>
      </c>
      <c r="F470" s="151"/>
      <c r="G470" s="153"/>
      <c r="H470" s="151"/>
      <c r="I470" s="153"/>
      <c r="J470" s="151"/>
      <c r="K470" s="153"/>
      <c r="L470" s="151"/>
      <c r="M470" s="153"/>
      <c r="N470" s="151"/>
      <c r="O470" s="153"/>
      <c r="P470" s="151"/>
      <c r="Q470" s="153"/>
      <c r="R470" s="151"/>
      <c r="S470" s="153"/>
      <c r="T470" s="151"/>
      <c r="U470" s="153"/>
      <c r="V470" s="151"/>
      <c r="W470" s="153"/>
      <c r="X470" s="151"/>
      <c r="Y470" s="153"/>
      <c r="Z470" s="61">
        <f t="shared" si="79"/>
        <v>32640</v>
      </c>
      <c r="AA470" s="75">
        <f t="shared" si="80"/>
        <v>45278</v>
      </c>
      <c r="AB470" s="151"/>
      <c r="AC470" s="153"/>
      <c r="AD470" s="151">
        <v>247712</v>
      </c>
      <c r="AE470" s="153">
        <f>242506-E470</f>
        <v>197228</v>
      </c>
      <c r="AF470" s="151"/>
      <c r="AG470" s="153"/>
      <c r="AH470" s="151"/>
      <c r="AI470" s="153"/>
      <c r="AJ470" s="151"/>
      <c r="AK470" s="153"/>
      <c r="AL470" s="151"/>
      <c r="AM470" s="153"/>
      <c r="AN470" s="151"/>
      <c r="AO470" s="153"/>
      <c r="AP470" s="61">
        <f t="shared" si="81"/>
        <v>280352</v>
      </c>
      <c r="AQ470" s="75">
        <f t="shared" si="82"/>
        <v>242506</v>
      </c>
      <c r="AR470" s="150" t="s">
        <v>63</v>
      </c>
    </row>
    <row r="471" spans="1:44" x14ac:dyDescent="0.25">
      <c r="A471" s="4" t="s">
        <v>271</v>
      </c>
      <c r="B471" s="4" t="s">
        <v>321</v>
      </c>
      <c r="C471" s="5" t="s">
        <v>60</v>
      </c>
      <c r="D471" s="151">
        <v>0</v>
      </c>
      <c r="E471" s="153"/>
      <c r="F471" s="151"/>
      <c r="G471" s="153"/>
      <c r="H471" s="151"/>
      <c r="I471" s="153"/>
      <c r="J471" s="151"/>
      <c r="K471" s="153"/>
      <c r="L471" s="151"/>
      <c r="M471" s="153"/>
      <c r="N471" s="151"/>
      <c r="O471" s="153"/>
      <c r="P471" s="151"/>
      <c r="Q471" s="153"/>
      <c r="R471" s="151"/>
      <c r="S471" s="153"/>
      <c r="T471" s="151"/>
      <c r="U471" s="153"/>
      <c r="V471" s="151"/>
      <c r="W471" s="153"/>
      <c r="X471" s="151"/>
      <c r="Y471" s="153"/>
      <c r="Z471" s="61">
        <f t="shared" si="79"/>
        <v>0</v>
      </c>
      <c r="AA471" s="75">
        <f t="shared" si="80"/>
        <v>0</v>
      </c>
      <c r="AB471" s="151"/>
      <c r="AC471" s="153"/>
      <c r="AD471" s="151">
        <v>1000</v>
      </c>
      <c r="AE471" s="153">
        <v>750</v>
      </c>
      <c r="AF471" s="151"/>
      <c r="AG471" s="153"/>
      <c r="AH471" s="151"/>
      <c r="AI471" s="153"/>
      <c r="AJ471" s="151"/>
      <c r="AK471" s="153"/>
      <c r="AL471" s="151"/>
      <c r="AM471" s="153"/>
      <c r="AN471" s="151"/>
      <c r="AO471" s="153"/>
      <c r="AP471" s="61">
        <f t="shared" si="81"/>
        <v>1000</v>
      </c>
      <c r="AQ471" s="75">
        <f t="shared" si="82"/>
        <v>750</v>
      </c>
      <c r="AR471" s="150" t="s">
        <v>61</v>
      </c>
    </row>
    <row r="472" spans="1:44" ht="26.25" x14ac:dyDescent="0.25">
      <c r="A472" s="4" t="s">
        <v>271</v>
      </c>
      <c r="B472" s="4" t="s">
        <v>322</v>
      </c>
      <c r="C472" s="5" t="s">
        <v>70</v>
      </c>
      <c r="D472" s="151">
        <v>4964</v>
      </c>
      <c r="E472" s="153">
        <v>4964</v>
      </c>
      <c r="F472" s="151"/>
      <c r="G472" s="153"/>
      <c r="H472" s="151"/>
      <c r="I472" s="153"/>
      <c r="J472" s="151"/>
      <c r="K472" s="153"/>
      <c r="L472" s="151"/>
      <c r="M472" s="153"/>
      <c r="N472" s="151"/>
      <c r="O472" s="153"/>
      <c r="P472" s="151"/>
      <c r="Q472" s="153"/>
      <c r="R472" s="151"/>
      <c r="S472" s="153"/>
      <c r="T472" s="151"/>
      <c r="U472" s="153"/>
      <c r="V472" s="151"/>
      <c r="W472" s="153"/>
      <c r="X472" s="151"/>
      <c r="Y472" s="153"/>
      <c r="Z472" s="61">
        <f t="shared" si="79"/>
        <v>4964</v>
      </c>
      <c r="AA472" s="75">
        <f t="shared" si="80"/>
        <v>4964</v>
      </c>
      <c r="AB472" s="151"/>
      <c r="AC472" s="153"/>
      <c r="AD472" s="151">
        <v>5000</v>
      </c>
      <c r="AE472" s="153">
        <v>0</v>
      </c>
      <c r="AF472" s="151">
        <v>53110</v>
      </c>
      <c r="AG472" s="153">
        <v>55360</v>
      </c>
      <c r="AH472" s="151"/>
      <c r="AI472" s="153"/>
      <c r="AJ472" s="151"/>
      <c r="AK472" s="153"/>
      <c r="AL472" s="151">
        <v>50</v>
      </c>
      <c r="AM472" s="153">
        <v>500</v>
      </c>
      <c r="AN472" s="151"/>
      <c r="AO472" s="153"/>
      <c r="AP472" s="61">
        <f t="shared" si="81"/>
        <v>63124</v>
      </c>
      <c r="AQ472" s="75">
        <f t="shared" si="82"/>
        <v>60824</v>
      </c>
      <c r="AR472" s="150" t="s">
        <v>71</v>
      </c>
    </row>
    <row r="473" spans="1:44" ht="26.25" x14ac:dyDescent="0.25">
      <c r="A473" s="4" t="s">
        <v>271</v>
      </c>
      <c r="B473" s="4" t="s">
        <v>323</v>
      </c>
      <c r="C473" s="5" t="s">
        <v>70</v>
      </c>
      <c r="D473" s="151"/>
      <c r="E473" s="153"/>
      <c r="F473" s="151"/>
      <c r="G473" s="153"/>
      <c r="H473" s="151"/>
      <c r="I473" s="153"/>
      <c r="J473" s="151"/>
      <c r="K473" s="153"/>
      <c r="L473" s="151"/>
      <c r="M473" s="153"/>
      <c r="N473" s="151"/>
      <c r="O473" s="153"/>
      <c r="P473" s="151"/>
      <c r="Q473" s="153"/>
      <c r="R473" s="151"/>
      <c r="S473" s="153"/>
      <c r="T473" s="151"/>
      <c r="U473" s="153"/>
      <c r="V473" s="151"/>
      <c r="W473" s="153"/>
      <c r="X473" s="151"/>
      <c r="Y473" s="153"/>
      <c r="Z473" s="61">
        <f t="shared" si="79"/>
        <v>0</v>
      </c>
      <c r="AA473" s="75">
        <f t="shared" si="80"/>
        <v>0</v>
      </c>
      <c r="AB473" s="151"/>
      <c r="AC473" s="153"/>
      <c r="AD473" s="151">
        <v>45000</v>
      </c>
      <c r="AE473" s="153">
        <v>30500</v>
      </c>
      <c r="AF473" s="151"/>
      <c r="AG473" s="153"/>
      <c r="AH473" s="151"/>
      <c r="AI473" s="153"/>
      <c r="AJ473" s="151"/>
      <c r="AK473" s="153"/>
      <c r="AL473" s="151"/>
      <c r="AM473" s="153"/>
      <c r="AN473" s="151"/>
      <c r="AO473" s="153"/>
      <c r="AP473" s="61">
        <f t="shared" si="81"/>
        <v>45000</v>
      </c>
      <c r="AQ473" s="75">
        <f t="shared" si="82"/>
        <v>30500</v>
      </c>
      <c r="AR473" s="150" t="s">
        <v>71</v>
      </c>
    </row>
    <row r="474" spans="1:44" x14ac:dyDescent="0.25">
      <c r="A474" s="4" t="s">
        <v>271</v>
      </c>
      <c r="B474" s="4" t="s">
        <v>324</v>
      </c>
      <c r="C474" s="5" t="s">
        <v>73</v>
      </c>
      <c r="D474" s="151">
        <v>6299</v>
      </c>
      <c r="E474" s="153">
        <f>7740+390</f>
        <v>8130</v>
      </c>
      <c r="F474" s="151"/>
      <c r="G474" s="153"/>
      <c r="H474" s="151"/>
      <c r="I474" s="153"/>
      <c r="J474" s="151"/>
      <c r="K474" s="153"/>
      <c r="L474" s="151"/>
      <c r="M474" s="153"/>
      <c r="N474" s="151"/>
      <c r="O474" s="153"/>
      <c r="P474" s="151"/>
      <c r="Q474" s="153"/>
      <c r="R474" s="151"/>
      <c r="S474" s="153"/>
      <c r="T474" s="151"/>
      <c r="U474" s="153"/>
      <c r="V474" s="151"/>
      <c r="W474" s="153"/>
      <c r="X474" s="151"/>
      <c r="Y474" s="153"/>
      <c r="Z474" s="61">
        <f t="shared" si="79"/>
        <v>6299</v>
      </c>
      <c r="AA474" s="75">
        <f t="shared" si="80"/>
        <v>8130</v>
      </c>
      <c r="AB474" s="151"/>
      <c r="AC474" s="153"/>
      <c r="AD474" s="151">
        <f>40295+500</f>
        <v>40795</v>
      </c>
      <c r="AE474" s="153">
        <v>25782</v>
      </c>
      <c r="AF474" s="151">
        <v>8156</v>
      </c>
      <c r="AG474" s="153">
        <v>11088</v>
      </c>
      <c r="AH474" s="151"/>
      <c r="AI474" s="153"/>
      <c r="AJ474" s="151"/>
      <c r="AK474" s="153"/>
      <c r="AL474" s="151"/>
      <c r="AM474" s="153"/>
      <c r="AN474" s="151"/>
      <c r="AO474" s="153"/>
      <c r="AP474" s="61">
        <f t="shared" si="81"/>
        <v>55250</v>
      </c>
      <c r="AQ474" s="75">
        <f t="shared" si="82"/>
        <v>45000</v>
      </c>
      <c r="AR474" s="150" t="s">
        <v>74</v>
      </c>
    </row>
    <row r="475" spans="1:44" x14ac:dyDescent="0.25">
      <c r="A475" s="4" t="s">
        <v>271</v>
      </c>
      <c r="B475" s="4" t="s">
        <v>97</v>
      </c>
      <c r="C475" s="5" t="s">
        <v>96</v>
      </c>
      <c r="D475" s="151"/>
      <c r="E475" s="153"/>
      <c r="F475" s="151"/>
      <c r="G475" s="153"/>
      <c r="H475" s="151"/>
      <c r="I475" s="153"/>
      <c r="J475" s="151"/>
      <c r="K475" s="153"/>
      <c r="L475" s="151"/>
      <c r="M475" s="153"/>
      <c r="N475" s="151"/>
      <c r="O475" s="153"/>
      <c r="P475" s="151"/>
      <c r="Q475" s="153"/>
      <c r="R475" s="151"/>
      <c r="S475" s="153"/>
      <c r="T475" s="151"/>
      <c r="U475" s="153"/>
      <c r="V475" s="151">
        <f>22300-8200</f>
        <v>14100</v>
      </c>
      <c r="W475" s="153">
        <f>22300-7000</f>
        <v>15300</v>
      </c>
      <c r="X475" s="151"/>
      <c r="Y475" s="153"/>
      <c r="Z475" s="61">
        <f t="shared" si="79"/>
        <v>14100</v>
      </c>
      <c r="AA475" s="75">
        <f t="shared" si="80"/>
        <v>15300</v>
      </c>
      <c r="AB475" s="151"/>
      <c r="AC475" s="153"/>
      <c r="AD475" s="151"/>
      <c r="AE475" s="153"/>
      <c r="AF475" s="151"/>
      <c r="AG475" s="153"/>
      <c r="AH475" s="151"/>
      <c r="AI475" s="153"/>
      <c r="AJ475" s="151"/>
      <c r="AK475" s="153"/>
      <c r="AL475" s="151"/>
      <c r="AM475" s="153"/>
      <c r="AN475" s="151"/>
      <c r="AO475" s="153"/>
      <c r="AP475" s="61">
        <f t="shared" si="81"/>
        <v>14100</v>
      </c>
      <c r="AQ475" s="75">
        <f t="shared" si="82"/>
        <v>15300</v>
      </c>
      <c r="AR475" s="150" t="s">
        <v>80</v>
      </c>
    </row>
    <row r="476" spans="1:44" x14ac:dyDescent="0.25">
      <c r="A476" s="4" t="s">
        <v>271</v>
      </c>
      <c r="B476" s="4" t="s">
        <v>325</v>
      </c>
      <c r="C476" s="5" t="s">
        <v>96</v>
      </c>
      <c r="D476" s="151">
        <v>101704</v>
      </c>
      <c r="E476" s="153">
        <v>112892</v>
      </c>
      <c r="F476" s="151"/>
      <c r="G476" s="153"/>
      <c r="H476" s="151"/>
      <c r="I476" s="153"/>
      <c r="J476" s="151"/>
      <c r="K476" s="153"/>
      <c r="L476" s="151"/>
      <c r="M476" s="153"/>
      <c r="N476" s="151"/>
      <c r="O476" s="153"/>
      <c r="P476" s="151"/>
      <c r="Q476" s="153"/>
      <c r="R476" s="151">
        <v>300</v>
      </c>
      <c r="S476" s="153">
        <v>300</v>
      </c>
      <c r="T476" s="151">
        <v>52081</v>
      </c>
      <c r="U476" s="153">
        <v>50977</v>
      </c>
      <c r="V476" s="151"/>
      <c r="W476" s="153"/>
      <c r="X476" s="151"/>
      <c r="Y476" s="153"/>
      <c r="Z476" s="61">
        <f t="shared" si="79"/>
        <v>154085</v>
      </c>
      <c r="AA476" s="75">
        <f t="shared" si="80"/>
        <v>164169</v>
      </c>
      <c r="AB476" s="151"/>
      <c r="AC476" s="153"/>
      <c r="AD476" s="151">
        <v>1680</v>
      </c>
      <c r="AE476" s="153">
        <v>600</v>
      </c>
      <c r="AF476" s="151">
        <v>12000</v>
      </c>
      <c r="AG476" s="153">
        <v>6000</v>
      </c>
      <c r="AH476" s="151"/>
      <c r="AI476" s="153"/>
      <c r="AJ476" s="151"/>
      <c r="AK476" s="153"/>
      <c r="AL476" s="151"/>
      <c r="AM476" s="153"/>
      <c r="AN476" s="151"/>
      <c r="AO476" s="153"/>
      <c r="AP476" s="61">
        <f t="shared" si="81"/>
        <v>167765</v>
      </c>
      <c r="AQ476" s="75">
        <f t="shared" si="82"/>
        <v>170769</v>
      </c>
      <c r="AR476" s="150" t="s">
        <v>80</v>
      </c>
    </row>
    <row r="477" spans="1:44" ht="39" x14ac:dyDescent="0.25">
      <c r="A477" s="4" t="s">
        <v>271</v>
      </c>
      <c r="B477" s="4" t="s">
        <v>326</v>
      </c>
      <c r="C477" s="5" t="s">
        <v>96</v>
      </c>
      <c r="D477" s="151"/>
      <c r="E477" s="153"/>
      <c r="F477" s="151"/>
      <c r="G477" s="153"/>
      <c r="H477" s="151"/>
      <c r="I477" s="153"/>
      <c r="J477" s="151"/>
      <c r="K477" s="153"/>
      <c r="L477" s="151"/>
      <c r="M477" s="153"/>
      <c r="N477" s="151"/>
      <c r="O477" s="153"/>
      <c r="P477" s="151"/>
      <c r="Q477" s="153"/>
      <c r="R477" s="151"/>
      <c r="S477" s="153"/>
      <c r="T477" s="151">
        <v>20516</v>
      </c>
      <c r="U477" s="153">
        <v>19835</v>
      </c>
      <c r="V477" s="151"/>
      <c r="W477" s="153"/>
      <c r="X477" s="151"/>
      <c r="Y477" s="153"/>
      <c r="Z477" s="61">
        <f t="shared" si="79"/>
        <v>20516</v>
      </c>
      <c r="AA477" s="75">
        <f t="shared" si="80"/>
        <v>19835</v>
      </c>
      <c r="AB477" s="151"/>
      <c r="AC477" s="153"/>
      <c r="AD477" s="151"/>
      <c r="AE477" s="153"/>
      <c r="AF477" s="151"/>
      <c r="AG477" s="153"/>
      <c r="AH477" s="151"/>
      <c r="AI477" s="153"/>
      <c r="AJ477" s="151"/>
      <c r="AK477" s="153"/>
      <c r="AL477" s="151"/>
      <c r="AM477" s="153"/>
      <c r="AN477" s="151"/>
      <c r="AO477" s="153"/>
      <c r="AP477" s="61">
        <f t="shared" si="81"/>
        <v>20516</v>
      </c>
      <c r="AQ477" s="75">
        <f t="shared" si="82"/>
        <v>19835</v>
      </c>
      <c r="AR477" s="150" t="s">
        <v>80</v>
      </c>
    </row>
    <row r="478" spans="1:44" ht="36.75" customHeight="1" x14ac:dyDescent="0.25">
      <c r="A478" s="4" t="s">
        <v>271</v>
      </c>
      <c r="B478" s="4" t="s">
        <v>327</v>
      </c>
      <c r="C478" s="5" t="s">
        <v>96</v>
      </c>
      <c r="D478" s="151"/>
      <c r="E478" s="153"/>
      <c r="F478" s="151"/>
      <c r="G478" s="153"/>
      <c r="H478" s="151"/>
      <c r="I478" s="153"/>
      <c r="J478" s="151"/>
      <c r="K478" s="153"/>
      <c r="L478" s="151"/>
      <c r="M478" s="153"/>
      <c r="N478" s="151"/>
      <c r="O478" s="153"/>
      <c r="P478" s="151"/>
      <c r="Q478" s="153"/>
      <c r="R478" s="151"/>
      <c r="S478" s="153"/>
      <c r="T478" s="151">
        <v>20516</v>
      </c>
      <c r="U478" s="153">
        <v>19835</v>
      </c>
      <c r="V478" s="151"/>
      <c r="W478" s="153"/>
      <c r="X478" s="151"/>
      <c r="Y478" s="153"/>
      <c r="Z478" s="61">
        <f t="shared" si="79"/>
        <v>20516</v>
      </c>
      <c r="AA478" s="75">
        <f t="shared" si="80"/>
        <v>19835</v>
      </c>
      <c r="AB478" s="151"/>
      <c r="AC478" s="153"/>
      <c r="AD478" s="151"/>
      <c r="AE478" s="153"/>
      <c r="AF478" s="151"/>
      <c r="AG478" s="153"/>
      <c r="AH478" s="151"/>
      <c r="AI478" s="153"/>
      <c r="AJ478" s="151"/>
      <c r="AK478" s="153"/>
      <c r="AL478" s="151"/>
      <c r="AM478" s="153"/>
      <c r="AN478" s="151"/>
      <c r="AO478" s="153"/>
      <c r="AP478" s="61">
        <f t="shared" si="81"/>
        <v>20516</v>
      </c>
      <c r="AQ478" s="75">
        <f t="shared" si="82"/>
        <v>19835</v>
      </c>
      <c r="AR478" s="150" t="s">
        <v>80</v>
      </c>
    </row>
    <row r="479" spans="1:44" ht="26.25" x14ac:dyDescent="0.25">
      <c r="A479" s="4" t="s">
        <v>271</v>
      </c>
      <c r="B479" s="4" t="s">
        <v>328</v>
      </c>
      <c r="C479" s="5" t="s">
        <v>96</v>
      </c>
      <c r="D479" s="151"/>
      <c r="E479" s="153"/>
      <c r="F479" s="151"/>
      <c r="G479" s="153"/>
      <c r="H479" s="151"/>
      <c r="I479" s="153"/>
      <c r="J479" s="151"/>
      <c r="K479" s="153"/>
      <c r="L479" s="151"/>
      <c r="M479" s="153"/>
      <c r="N479" s="151"/>
      <c r="O479" s="153"/>
      <c r="P479" s="151"/>
      <c r="Q479" s="153"/>
      <c r="R479" s="151"/>
      <c r="S479" s="153"/>
      <c r="T479" s="151">
        <v>7300</v>
      </c>
      <c r="U479" s="153">
        <v>7300</v>
      </c>
      <c r="V479" s="151"/>
      <c r="W479" s="153"/>
      <c r="X479" s="151"/>
      <c r="Y479" s="153"/>
      <c r="Z479" s="61">
        <f t="shared" si="79"/>
        <v>7300</v>
      </c>
      <c r="AA479" s="75">
        <f t="shared" si="80"/>
        <v>7300</v>
      </c>
      <c r="AB479" s="151"/>
      <c r="AC479" s="153"/>
      <c r="AD479" s="151"/>
      <c r="AE479" s="153"/>
      <c r="AF479" s="151"/>
      <c r="AG479" s="153"/>
      <c r="AH479" s="151"/>
      <c r="AI479" s="153"/>
      <c r="AJ479" s="151"/>
      <c r="AK479" s="153"/>
      <c r="AL479" s="151"/>
      <c r="AM479" s="153"/>
      <c r="AN479" s="151"/>
      <c r="AO479" s="153"/>
      <c r="AP479" s="61">
        <f t="shared" si="81"/>
        <v>7300</v>
      </c>
      <c r="AQ479" s="75">
        <f t="shared" si="82"/>
        <v>7300</v>
      </c>
      <c r="AR479" s="150" t="s">
        <v>80</v>
      </c>
    </row>
    <row r="480" spans="1:44" ht="37.5" customHeight="1" x14ac:dyDescent="0.25">
      <c r="A480" s="4" t="s">
        <v>271</v>
      </c>
      <c r="B480" s="4" t="s">
        <v>329</v>
      </c>
      <c r="C480" s="5" t="s">
        <v>96</v>
      </c>
      <c r="D480" s="151"/>
      <c r="E480" s="153"/>
      <c r="F480" s="151"/>
      <c r="G480" s="153"/>
      <c r="H480" s="151"/>
      <c r="I480" s="153"/>
      <c r="J480" s="151"/>
      <c r="K480" s="153"/>
      <c r="L480" s="151"/>
      <c r="M480" s="153"/>
      <c r="N480" s="151"/>
      <c r="O480" s="153"/>
      <c r="P480" s="151"/>
      <c r="Q480" s="153"/>
      <c r="R480" s="151"/>
      <c r="S480" s="153"/>
      <c r="T480" s="151">
        <v>6816</v>
      </c>
      <c r="U480" s="153">
        <v>8111</v>
      </c>
      <c r="V480" s="151"/>
      <c r="W480" s="153"/>
      <c r="X480" s="151"/>
      <c r="Y480" s="153"/>
      <c r="Z480" s="61">
        <f t="shared" si="79"/>
        <v>6816</v>
      </c>
      <c r="AA480" s="75">
        <f t="shared" si="80"/>
        <v>8111</v>
      </c>
      <c r="AB480" s="151"/>
      <c r="AC480" s="153"/>
      <c r="AD480" s="151"/>
      <c r="AE480" s="153"/>
      <c r="AF480" s="151"/>
      <c r="AG480" s="153"/>
      <c r="AH480" s="151"/>
      <c r="AI480" s="153"/>
      <c r="AJ480" s="151"/>
      <c r="AK480" s="153"/>
      <c r="AL480" s="151"/>
      <c r="AM480" s="153"/>
      <c r="AN480" s="151"/>
      <c r="AO480" s="153"/>
      <c r="AP480" s="61">
        <f t="shared" si="81"/>
        <v>6816</v>
      </c>
      <c r="AQ480" s="75">
        <f t="shared" si="82"/>
        <v>8111</v>
      </c>
      <c r="AR480" s="150" t="s">
        <v>80</v>
      </c>
    </row>
    <row r="481" spans="1:44" ht="26.25" x14ac:dyDescent="0.25">
      <c r="A481" s="4" t="s">
        <v>271</v>
      </c>
      <c r="B481" s="4" t="s">
        <v>330</v>
      </c>
      <c r="C481" s="5" t="s">
        <v>96</v>
      </c>
      <c r="D481" s="151"/>
      <c r="E481" s="153"/>
      <c r="F481" s="151"/>
      <c r="G481" s="153"/>
      <c r="H481" s="151"/>
      <c r="I481" s="153"/>
      <c r="J481" s="151"/>
      <c r="K481" s="153"/>
      <c r="L481" s="151"/>
      <c r="M481" s="153"/>
      <c r="N481" s="151"/>
      <c r="O481" s="153"/>
      <c r="P481" s="151"/>
      <c r="Q481" s="153"/>
      <c r="R481" s="151"/>
      <c r="S481" s="153"/>
      <c r="T481" s="151">
        <v>6816</v>
      </c>
      <c r="U481" s="153">
        <v>8111</v>
      </c>
      <c r="V481" s="151"/>
      <c r="W481" s="153"/>
      <c r="X481" s="151"/>
      <c r="Y481" s="153"/>
      <c r="Z481" s="61">
        <f t="shared" si="79"/>
        <v>6816</v>
      </c>
      <c r="AA481" s="75">
        <f t="shared" si="80"/>
        <v>8111</v>
      </c>
      <c r="AB481" s="151"/>
      <c r="AC481" s="153"/>
      <c r="AD481" s="151"/>
      <c r="AE481" s="153"/>
      <c r="AF481" s="151"/>
      <c r="AG481" s="153"/>
      <c r="AH481" s="151"/>
      <c r="AI481" s="153"/>
      <c r="AJ481" s="151"/>
      <c r="AK481" s="153"/>
      <c r="AL481" s="151"/>
      <c r="AM481" s="153"/>
      <c r="AN481" s="151"/>
      <c r="AO481" s="153"/>
      <c r="AP481" s="61">
        <f t="shared" si="81"/>
        <v>6816</v>
      </c>
      <c r="AQ481" s="75">
        <f t="shared" si="82"/>
        <v>8111</v>
      </c>
      <c r="AR481" s="150" t="s">
        <v>80</v>
      </c>
    </row>
    <row r="482" spans="1:44" x14ac:dyDescent="0.25">
      <c r="A482" s="4" t="s">
        <v>271</v>
      </c>
      <c r="B482" s="4" t="s">
        <v>105</v>
      </c>
      <c r="C482" s="5"/>
      <c r="D482" s="151">
        <v>72262</v>
      </c>
      <c r="E482" s="153">
        <f>64376+309+58</f>
        <v>64743</v>
      </c>
      <c r="F482" s="151"/>
      <c r="G482" s="153"/>
      <c r="H482" s="151"/>
      <c r="I482" s="153"/>
      <c r="J482" s="151"/>
      <c r="K482" s="153"/>
      <c r="L482" s="151"/>
      <c r="M482" s="153"/>
      <c r="N482" s="151"/>
      <c r="O482" s="153"/>
      <c r="P482" s="151"/>
      <c r="Q482" s="153"/>
      <c r="R482" s="151"/>
      <c r="S482" s="153"/>
      <c r="T482" s="151"/>
      <c r="U482" s="153"/>
      <c r="V482" s="151"/>
      <c r="W482" s="153"/>
      <c r="X482" s="151"/>
      <c r="Y482" s="153"/>
      <c r="Z482" s="61">
        <f t="shared" si="79"/>
        <v>72262</v>
      </c>
      <c r="AA482" s="75">
        <f t="shared" si="80"/>
        <v>64743</v>
      </c>
      <c r="AB482" s="151"/>
      <c r="AC482" s="153"/>
      <c r="AD482" s="151"/>
      <c r="AE482" s="153"/>
      <c r="AF482" s="151"/>
      <c r="AG482" s="153"/>
      <c r="AH482" s="151"/>
      <c r="AI482" s="153"/>
      <c r="AJ482" s="151"/>
      <c r="AK482" s="153"/>
      <c r="AL482" s="151"/>
      <c r="AM482" s="153"/>
      <c r="AN482" s="151"/>
      <c r="AO482" s="153"/>
      <c r="AP482" s="61">
        <f t="shared" si="81"/>
        <v>72262</v>
      </c>
      <c r="AQ482" s="75">
        <f t="shared" si="82"/>
        <v>64743</v>
      </c>
      <c r="AR482" s="150" t="s">
        <v>58</v>
      </c>
    </row>
    <row r="483" spans="1:44" x14ac:dyDescent="0.25">
      <c r="A483" s="4" t="s">
        <v>271</v>
      </c>
      <c r="B483" s="4" t="s">
        <v>106</v>
      </c>
      <c r="C483" s="5"/>
      <c r="D483" s="151">
        <v>41677</v>
      </c>
      <c r="E483" s="153">
        <f>47265+387</f>
        <v>47652</v>
      </c>
      <c r="F483" s="151"/>
      <c r="G483" s="153"/>
      <c r="H483" s="151"/>
      <c r="I483" s="153"/>
      <c r="J483" s="151"/>
      <c r="K483" s="153"/>
      <c r="L483" s="151"/>
      <c r="M483" s="153"/>
      <c r="N483" s="151"/>
      <c r="O483" s="153"/>
      <c r="P483" s="151"/>
      <c r="Q483" s="153"/>
      <c r="R483" s="151"/>
      <c r="S483" s="153"/>
      <c r="T483" s="151"/>
      <c r="U483" s="153"/>
      <c r="V483" s="151"/>
      <c r="W483" s="153"/>
      <c r="X483" s="151"/>
      <c r="Y483" s="153"/>
      <c r="Z483" s="61">
        <f t="shared" si="79"/>
        <v>41677</v>
      </c>
      <c r="AA483" s="75">
        <f t="shared" si="80"/>
        <v>47652</v>
      </c>
      <c r="AB483" s="151"/>
      <c r="AC483" s="153"/>
      <c r="AD483" s="151"/>
      <c r="AE483" s="153"/>
      <c r="AF483" s="151"/>
      <c r="AG483" s="153"/>
      <c r="AH483" s="151"/>
      <c r="AI483" s="153"/>
      <c r="AJ483" s="151"/>
      <c r="AK483" s="153"/>
      <c r="AL483" s="151"/>
      <c r="AM483" s="153"/>
      <c r="AN483" s="151"/>
      <c r="AO483" s="153"/>
      <c r="AP483" s="61">
        <f t="shared" si="81"/>
        <v>41677</v>
      </c>
      <c r="AQ483" s="75">
        <f t="shared" si="82"/>
        <v>47652</v>
      </c>
      <c r="AR483" s="150" t="s">
        <v>58</v>
      </c>
    </row>
    <row r="484" spans="1:44" x14ac:dyDescent="0.25">
      <c r="A484" s="16" t="s">
        <v>331</v>
      </c>
      <c r="B484" s="16" t="s">
        <v>108</v>
      </c>
      <c r="C484" s="17"/>
      <c r="D484" s="18">
        <f t="shared" ref="D484:AQ484" si="87">SUM(D420:D483)</f>
        <v>4909841</v>
      </c>
      <c r="E484" s="18">
        <f t="shared" si="87"/>
        <v>5233254</v>
      </c>
      <c r="F484" s="18">
        <f t="shared" si="87"/>
        <v>19528</v>
      </c>
      <c r="G484" s="18">
        <f t="shared" si="87"/>
        <v>20950</v>
      </c>
      <c r="H484" s="18">
        <f t="shared" si="87"/>
        <v>289250</v>
      </c>
      <c r="I484" s="18">
        <f t="shared" si="87"/>
        <v>285056</v>
      </c>
      <c r="J484" s="18">
        <f t="shared" si="87"/>
        <v>50069</v>
      </c>
      <c r="K484" s="18">
        <f t="shared" si="87"/>
        <v>47610</v>
      </c>
      <c r="L484" s="18">
        <f t="shared" si="87"/>
        <v>195073</v>
      </c>
      <c r="M484" s="18">
        <f t="shared" si="87"/>
        <v>216293</v>
      </c>
      <c r="N484" s="18">
        <f t="shared" si="87"/>
        <v>42504</v>
      </c>
      <c r="O484" s="18">
        <f t="shared" si="87"/>
        <v>39702</v>
      </c>
      <c r="P484" s="18">
        <f t="shared" si="87"/>
        <v>880</v>
      </c>
      <c r="Q484" s="18">
        <f t="shared" si="87"/>
        <v>880</v>
      </c>
      <c r="R484" s="18">
        <f t="shared" si="87"/>
        <v>115420</v>
      </c>
      <c r="S484" s="18">
        <f t="shared" si="87"/>
        <v>109250</v>
      </c>
      <c r="T484" s="18">
        <f t="shared" si="87"/>
        <v>220160</v>
      </c>
      <c r="U484" s="18">
        <f t="shared" si="87"/>
        <v>215963</v>
      </c>
      <c r="V484" s="18">
        <f t="shared" si="87"/>
        <v>14100</v>
      </c>
      <c r="W484" s="18">
        <f t="shared" si="87"/>
        <v>15300</v>
      </c>
      <c r="X484" s="18">
        <f t="shared" si="87"/>
        <v>17361</v>
      </c>
      <c r="Y484" s="18">
        <f t="shared" si="87"/>
        <v>2700</v>
      </c>
      <c r="Z484" s="18">
        <f t="shared" si="87"/>
        <v>5874186</v>
      </c>
      <c r="AA484" s="18">
        <f t="shared" si="87"/>
        <v>6186958</v>
      </c>
      <c r="AB484" s="18">
        <f t="shared" si="87"/>
        <v>7260</v>
      </c>
      <c r="AC484" s="18">
        <f t="shared" si="87"/>
        <v>4805</v>
      </c>
      <c r="AD484" s="18">
        <f t="shared" si="87"/>
        <v>739427</v>
      </c>
      <c r="AE484" s="18">
        <f t="shared" si="87"/>
        <v>679353</v>
      </c>
      <c r="AF484" s="18">
        <f t="shared" si="87"/>
        <v>343289</v>
      </c>
      <c r="AG484" s="18">
        <f t="shared" si="87"/>
        <v>321938</v>
      </c>
      <c r="AH484" s="18">
        <f t="shared" si="87"/>
        <v>16021</v>
      </c>
      <c r="AI484" s="18">
        <f t="shared" si="87"/>
        <v>15104</v>
      </c>
      <c r="AJ484" s="18">
        <f t="shared" si="87"/>
        <v>10000</v>
      </c>
      <c r="AK484" s="18">
        <f t="shared" si="87"/>
        <v>0</v>
      </c>
      <c r="AL484" s="18">
        <f t="shared" si="87"/>
        <v>1301</v>
      </c>
      <c r="AM484" s="18">
        <f t="shared" si="87"/>
        <v>1951</v>
      </c>
      <c r="AN484" s="18">
        <f t="shared" si="87"/>
        <v>0</v>
      </c>
      <c r="AO484" s="18">
        <f t="shared" si="87"/>
        <v>0</v>
      </c>
      <c r="AP484" s="18">
        <f t="shared" si="87"/>
        <v>6991484</v>
      </c>
      <c r="AQ484" s="18">
        <f t="shared" si="87"/>
        <v>7210109</v>
      </c>
      <c r="AR484" s="150"/>
    </row>
    <row r="485" spans="1:44" x14ac:dyDescent="0.25">
      <c r="A485" s="4" t="s">
        <v>332</v>
      </c>
      <c r="B485" s="4" t="s">
        <v>333</v>
      </c>
      <c r="C485" s="5" t="s">
        <v>57</v>
      </c>
      <c r="D485" s="151">
        <v>1120175</v>
      </c>
      <c r="E485" s="153">
        <v>1220886</v>
      </c>
      <c r="F485" s="151">
        <v>26000</v>
      </c>
      <c r="G485" s="153">
        <v>26000</v>
      </c>
      <c r="H485" s="151">
        <v>12500</v>
      </c>
      <c r="I485" s="153">
        <v>12500</v>
      </c>
      <c r="J485" s="151">
        <v>1500</v>
      </c>
      <c r="K485" s="153">
        <v>1800</v>
      </c>
      <c r="L485" s="151">
        <v>10850</v>
      </c>
      <c r="M485" s="153">
        <v>10850</v>
      </c>
      <c r="N485" s="151">
        <v>4200</v>
      </c>
      <c r="O485" s="153">
        <v>4200</v>
      </c>
      <c r="P485" s="151"/>
      <c r="Q485" s="153"/>
      <c r="R485" s="151">
        <v>2500</v>
      </c>
      <c r="S485" s="153">
        <v>2200</v>
      </c>
      <c r="T485" s="151"/>
      <c r="U485" s="153"/>
      <c r="V485" s="151"/>
      <c r="W485" s="153"/>
      <c r="X485" s="151">
        <v>2000</v>
      </c>
      <c r="Y485" s="153">
        <v>2000</v>
      </c>
      <c r="Z485" s="61">
        <f t="shared" ref="Z485:AA485" si="88">D485+F485+H485+J485+L485+P485+R485+T485+V485+X485+N485</f>
        <v>1179725</v>
      </c>
      <c r="AA485" s="75">
        <f t="shared" si="88"/>
        <v>1280436</v>
      </c>
      <c r="AB485" s="151">
        <v>1500</v>
      </c>
      <c r="AC485" s="153">
        <v>300</v>
      </c>
      <c r="AD485" s="151">
        <v>137060</v>
      </c>
      <c r="AE485" s="153">
        <v>137060</v>
      </c>
      <c r="AF485" s="151">
        <v>39029</v>
      </c>
      <c r="AG485" s="153">
        <v>39029</v>
      </c>
      <c r="AH485" s="151"/>
      <c r="AI485" s="153"/>
      <c r="AJ485" s="151"/>
      <c r="AK485" s="153"/>
      <c r="AL485" s="151"/>
      <c r="AM485" s="153"/>
      <c r="AN485" s="151"/>
      <c r="AO485" s="153"/>
      <c r="AP485" s="61">
        <f t="shared" ref="AP485" si="89">Z485+AB485+AD485+AF485+AH485+AJ485+AL485+AN485</f>
        <v>1357314</v>
      </c>
      <c r="AQ485" s="75">
        <f t="shared" ref="AQ485" si="90">AA485+AC485+AE485+AG485+AI485+AK485+AM485+AO485</f>
        <v>1456825</v>
      </c>
      <c r="AR485" s="150" t="s">
        <v>58</v>
      </c>
    </row>
    <row r="486" spans="1:44" x14ac:dyDescent="0.25">
      <c r="A486" s="4" t="s">
        <v>332</v>
      </c>
      <c r="B486" s="4" t="s">
        <v>334</v>
      </c>
      <c r="C486" s="5" t="s">
        <v>57</v>
      </c>
      <c r="D486" s="151">
        <v>111000</v>
      </c>
      <c r="E486" s="153">
        <v>112000</v>
      </c>
      <c r="F486" s="151"/>
      <c r="G486" s="153"/>
      <c r="H486" s="151"/>
      <c r="I486" s="153"/>
      <c r="J486" s="151"/>
      <c r="K486" s="153"/>
      <c r="L486" s="151"/>
      <c r="M486" s="153"/>
      <c r="N486" s="151"/>
      <c r="O486" s="153"/>
      <c r="P486" s="151"/>
      <c r="Q486" s="153"/>
      <c r="R486" s="151">
        <v>3000</v>
      </c>
      <c r="S486" s="153">
        <v>3000</v>
      </c>
      <c r="T486" s="151"/>
      <c r="U486" s="153"/>
      <c r="V486" s="151"/>
      <c r="W486" s="153"/>
      <c r="X486" s="151"/>
      <c r="Y486" s="153"/>
      <c r="Z486" s="61">
        <f t="shared" ref="Z486:Z548" si="91">D486+F486+H486+J486+L486+P486+R486+T486+V486+X486+N486</f>
        <v>114000</v>
      </c>
      <c r="AA486" s="75">
        <f t="shared" ref="AA486:AA548" si="92">E486+G486+I486+K486+M486+Q486+S486+U486+W486+Y486+O486</f>
        <v>115000</v>
      </c>
      <c r="AB486" s="151"/>
      <c r="AC486" s="153"/>
      <c r="AD486" s="151">
        <v>100</v>
      </c>
      <c r="AE486" s="153">
        <v>20</v>
      </c>
      <c r="AF486" s="151">
        <v>100</v>
      </c>
      <c r="AG486" s="153">
        <v>100</v>
      </c>
      <c r="AH486" s="151"/>
      <c r="AI486" s="153"/>
      <c r="AJ486" s="151"/>
      <c r="AK486" s="153"/>
      <c r="AL486" s="151"/>
      <c r="AM486" s="153"/>
      <c r="AN486" s="151"/>
      <c r="AO486" s="153"/>
      <c r="AP486" s="61">
        <f t="shared" ref="AP486:AP548" si="93">Z486+AB486+AD486+AF486+AH486+AJ486+AL486+AN486</f>
        <v>114200</v>
      </c>
      <c r="AQ486" s="75">
        <f t="shared" ref="AQ486:AQ548" si="94">AA486+AC486+AE486+AG486+AI486+AK486+AM486+AO486</f>
        <v>115120</v>
      </c>
      <c r="AR486" s="150" t="s">
        <v>58</v>
      </c>
    </row>
    <row r="487" spans="1:44" x14ac:dyDescent="0.25">
      <c r="A487" s="4" t="s">
        <v>332</v>
      </c>
      <c r="B487" s="4" t="s">
        <v>335</v>
      </c>
      <c r="C487" s="5" t="s">
        <v>57</v>
      </c>
      <c r="D487" s="151"/>
      <c r="E487" s="153"/>
      <c r="F487" s="151">
        <v>430</v>
      </c>
      <c r="G487" s="153">
        <v>250</v>
      </c>
      <c r="H487" s="151"/>
      <c r="I487" s="153"/>
      <c r="J487" s="151"/>
      <c r="K487" s="153"/>
      <c r="L487" s="151"/>
      <c r="M487" s="153"/>
      <c r="N487" s="151"/>
      <c r="O487" s="153"/>
      <c r="P487" s="151"/>
      <c r="Q487" s="153"/>
      <c r="R487" s="151"/>
      <c r="S487" s="153"/>
      <c r="T487" s="151"/>
      <c r="U487" s="153"/>
      <c r="V487" s="151"/>
      <c r="W487" s="153"/>
      <c r="X487" s="151"/>
      <c r="Y487" s="153"/>
      <c r="Z487" s="61">
        <f t="shared" si="91"/>
        <v>430</v>
      </c>
      <c r="AA487" s="75">
        <f t="shared" si="92"/>
        <v>250</v>
      </c>
      <c r="AB487" s="151">
        <v>30</v>
      </c>
      <c r="AC487" s="153">
        <v>10</v>
      </c>
      <c r="AD487" s="151">
        <v>2250</v>
      </c>
      <c r="AE487" s="153">
        <v>1900</v>
      </c>
      <c r="AF487" s="151">
        <v>4500</v>
      </c>
      <c r="AG487" s="153">
        <v>4500</v>
      </c>
      <c r="AH487" s="151"/>
      <c r="AI487" s="153"/>
      <c r="AJ487" s="151"/>
      <c r="AK487" s="153"/>
      <c r="AL487" s="151"/>
      <c r="AM487" s="153"/>
      <c r="AN487" s="151"/>
      <c r="AO487" s="153"/>
      <c r="AP487" s="61">
        <f t="shared" si="93"/>
        <v>7210</v>
      </c>
      <c r="AQ487" s="75">
        <f t="shared" si="94"/>
        <v>6660</v>
      </c>
      <c r="AR487" s="150" t="s">
        <v>58</v>
      </c>
    </row>
    <row r="488" spans="1:44" ht="26.25" x14ac:dyDescent="0.25">
      <c r="A488" s="4" t="s">
        <v>332</v>
      </c>
      <c r="B488" s="4" t="s">
        <v>336</v>
      </c>
      <c r="C488" s="5" t="s">
        <v>57</v>
      </c>
      <c r="D488" s="151">
        <v>53000</v>
      </c>
      <c r="E488" s="153">
        <v>56000</v>
      </c>
      <c r="F488" s="151"/>
      <c r="G488" s="153"/>
      <c r="H488" s="151"/>
      <c r="I488" s="153"/>
      <c r="J488" s="151"/>
      <c r="K488" s="153"/>
      <c r="L488" s="151"/>
      <c r="M488" s="153"/>
      <c r="N488" s="151"/>
      <c r="O488" s="153"/>
      <c r="P488" s="151"/>
      <c r="Q488" s="153"/>
      <c r="R488" s="151"/>
      <c r="S488" s="153"/>
      <c r="T488" s="151"/>
      <c r="U488" s="153"/>
      <c r="V488" s="151"/>
      <c r="W488" s="153"/>
      <c r="X488" s="151"/>
      <c r="Y488" s="153"/>
      <c r="Z488" s="61">
        <f t="shared" si="91"/>
        <v>53000</v>
      </c>
      <c r="AA488" s="75">
        <f t="shared" si="92"/>
        <v>56000</v>
      </c>
      <c r="AB488" s="151"/>
      <c r="AC488" s="153"/>
      <c r="AD488" s="151"/>
      <c r="AE488" s="153"/>
      <c r="AF488" s="151"/>
      <c r="AG488" s="153"/>
      <c r="AH488" s="151"/>
      <c r="AI488" s="153"/>
      <c r="AJ488" s="151"/>
      <c r="AK488" s="153"/>
      <c r="AL488" s="151"/>
      <c r="AM488" s="153"/>
      <c r="AN488" s="151"/>
      <c r="AO488" s="153"/>
      <c r="AP488" s="61">
        <f t="shared" si="93"/>
        <v>53000</v>
      </c>
      <c r="AQ488" s="75">
        <f t="shared" si="94"/>
        <v>56000</v>
      </c>
      <c r="AR488" s="150" t="s">
        <v>58</v>
      </c>
    </row>
    <row r="489" spans="1:44" x14ac:dyDescent="0.25">
      <c r="A489" s="4" t="s">
        <v>332</v>
      </c>
      <c r="B489" s="4" t="s">
        <v>337</v>
      </c>
      <c r="C489" s="5" t="s">
        <v>57</v>
      </c>
      <c r="D489" s="151">
        <v>310</v>
      </c>
      <c r="E489" s="153">
        <v>310</v>
      </c>
      <c r="F489" s="151"/>
      <c r="G489" s="153"/>
      <c r="H489" s="151"/>
      <c r="I489" s="153"/>
      <c r="J489" s="151"/>
      <c r="K489" s="153"/>
      <c r="L489" s="151"/>
      <c r="M489" s="153"/>
      <c r="N489" s="151"/>
      <c r="O489" s="153"/>
      <c r="P489" s="151"/>
      <c r="Q489" s="153"/>
      <c r="R489" s="151"/>
      <c r="S489" s="153"/>
      <c r="T489" s="151"/>
      <c r="U489" s="153"/>
      <c r="V489" s="151"/>
      <c r="W489" s="153"/>
      <c r="X489" s="151"/>
      <c r="Y489" s="153"/>
      <c r="Z489" s="61">
        <f t="shared" si="91"/>
        <v>310</v>
      </c>
      <c r="AA489" s="75">
        <f t="shared" si="92"/>
        <v>310</v>
      </c>
      <c r="AB489" s="151">
        <v>2000</v>
      </c>
      <c r="AC489" s="153">
        <v>1500</v>
      </c>
      <c r="AD489" s="151">
        <v>8100</v>
      </c>
      <c r="AE489" s="153">
        <v>5000</v>
      </c>
      <c r="AF489" s="151">
        <v>4590</v>
      </c>
      <c r="AG489" s="153">
        <v>2000</v>
      </c>
      <c r="AH489" s="151"/>
      <c r="AI489" s="153"/>
      <c r="AJ489" s="151"/>
      <c r="AK489" s="153"/>
      <c r="AL489" s="151"/>
      <c r="AM489" s="153"/>
      <c r="AN489" s="151"/>
      <c r="AO489" s="153"/>
      <c r="AP489" s="61">
        <f t="shared" si="93"/>
        <v>15000</v>
      </c>
      <c r="AQ489" s="75">
        <f t="shared" si="94"/>
        <v>8810</v>
      </c>
      <c r="AR489" s="150" t="s">
        <v>58</v>
      </c>
    </row>
    <row r="490" spans="1:44" x14ac:dyDescent="0.25">
      <c r="A490" s="4" t="s">
        <v>332</v>
      </c>
      <c r="B490" s="4" t="s">
        <v>338</v>
      </c>
      <c r="C490" s="5" t="s">
        <v>57</v>
      </c>
      <c r="D490" s="151"/>
      <c r="E490" s="153"/>
      <c r="F490" s="151"/>
      <c r="G490" s="153"/>
      <c r="H490" s="151"/>
      <c r="I490" s="153"/>
      <c r="J490" s="151"/>
      <c r="K490" s="153"/>
      <c r="L490" s="151"/>
      <c r="M490" s="153"/>
      <c r="N490" s="151"/>
      <c r="O490" s="153"/>
      <c r="P490" s="151"/>
      <c r="Q490" s="153"/>
      <c r="R490" s="151"/>
      <c r="S490" s="153"/>
      <c r="T490" s="151"/>
      <c r="U490" s="153"/>
      <c r="V490" s="151"/>
      <c r="W490" s="153"/>
      <c r="X490" s="151"/>
      <c r="Y490" s="153"/>
      <c r="Z490" s="61">
        <f t="shared" si="91"/>
        <v>0</v>
      </c>
      <c r="AA490" s="75">
        <f t="shared" si="92"/>
        <v>0</v>
      </c>
      <c r="AB490" s="151"/>
      <c r="AC490" s="153"/>
      <c r="AD490" s="151">
        <v>25238</v>
      </c>
      <c r="AE490" s="153">
        <f>3000+9000</f>
        <v>12000</v>
      </c>
      <c r="AF490" s="151">
        <v>26000</v>
      </c>
      <c r="AG490" s="153">
        <f>14500</f>
        <v>14500</v>
      </c>
      <c r="AH490" s="151"/>
      <c r="AI490" s="153"/>
      <c r="AJ490" s="151"/>
      <c r="AK490" s="153"/>
      <c r="AL490" s="151"/>
      <c r="AM490" s="153"/>
      <c r="AN490" s="151"/>
      <c r="AO490" s="153"/>
      <c r="AP490" s="61">
        <f t="shared" si="93"/>
        <v>51238</v>
      </c>
      <c r="AQ490" s="75">
        <f t="shared" si="94"/>
        <v>26500</v>
      </c>
      <c r="AR490" s="150" t="s">
        <v>58</v>
      </c>
    </row>
    <row r="491" spans="1:44" ht="26.25" x14ac:dyDescent="0.25">
      <c r="A491" s="4" t="s">
        <v>332</v>
      </c>
      <c r="B491" s="4" t="s">
        <v>339</v>
      </c>
      <c r="C491" s="5" t="s">
        <v>57</v>
      </c>
      <c r="D491" s="151"/>
      <c r="E491" s="153"/>
      <c r="F491" s="151"/>
      <c r="G491" s="153"/>
      <c r="H491" s="151"/>
      <c r="I491" s="153"/>
      <c r="J491" s="151"/>
      <c r="K491" s="153"/>
      <c r="L491" s="151"/>
      <c r="M491" s="153"/>
      <c r="N491" s="151"/>
      <c r="O491" s="153"/>
      <c r="P491" s="151"/>
      <c r="Q491" s="153"/>
      <c r="R491" s="151"/>
      <c r="S491" s="153"/>
      <c r="T491" s="151"/>
      <c r="U491" s="153"/>
      <c r="V491" s="151"/>
      <c r="W491" s="153"/>
      <c r="X491" s="151"/>
      <c r="Y491" s="153"/>
      <c r="Z491" s="61">
        <f t="shared" si="91"/>
        <v>0</v>
      </c>
      <c r="AA491" s="75">
        <f t="shared" si="92"/>
        <v>0</v>
      </c>
      <c r="AB491" s="151"/>
      <c r="AC491" s="153"/>
      <c r="AD491" s="151">
        <v>57000</v>
      </c>
      <c r="AE491" s="153">
        <f>44000+28500</f>
        <v>72500</v>
      </c>
      <c r="AF491" s="151"/>
      <c r="AG491" s="153"/>
      <c r="AH491" s="151"/>
      <c r="AI491" s="153"/>
      <c r="AJ491" s="151"/>
      <c r="AK491" s="153"/>
      <c r="AL491" s="151"/>
      <c r="AM491" s="153"/>
      <c r="AN491" s="151"/>
      <c r="AO491" s="153"/>
      <c r="AP491" s="61">
        <f t="shared" si="93"/>
        <v>57000</v>
      </c>
      <c r="AQ491" s="75">
        <f t="shared" si="94"/>
        <v>72500</v>
      </c>
      <c r="AR491" s="150" t="s">
        <v>340</v>
      </c>
    </row>
    <row r="492" spans="1:44" x14ac:dyDescent="0.25">
      <c r="A492" s="4" t="s">
        <v>332</v>
      </c>
      <c r="B492" s="4" t="s">
        <v>341</v>
      </c>
      <c r="C492" s="5" t="s">
        <v>57</v>
      </c>
      <c r="D492" s="151"/>
      <c r="E492" s="153"/>
      <c r="F492" s="151"/>
      <c r="G492" s="153"/>
      <c r="H492" s="151"/>
      <c r="I492" s="153"/>
      <c r="J492" s="151"/>
      <c r="K492" s="153"/>
      <c r="L492" s="151"/>
      <c r="M492" s="153"/>
      <c r="N492" s="151"/>
      <c r="O492" s="153"/>
      <c r="P492" s="151"/>
      <c r="Q492" s="153"/>
      <c r="R492" s="151"/>
      <c r="S492" s="153"/>
      <c r="T492" s="151"/>
      <c r="U492" s="153"/>
      <c r="V492" s="151"/>
      <c r="W492" s="153"/>
      <c r="X492" s="151"/>
      <c r="Y492" s="153"/>
      <c r="Z492" s="61">
        <f t="shared" si="91"/>
        <v>0</v>
      </c>
      <c r="AA492" s="75">
        <f t="shared" si="92"/>
        <v>0</v>
      </c>
      <c r="AB492" s="151"/>
      <c r="AC492" s="153"/>
      <c r="AD492" s="151">
        <v>105078</v>
      </c>
      <c r="AE492" s="153">
        <f>80000+7400+2500+2981+8000+986+2460+750+30000-8189+23000</f>
        <v>149888</v>
      </c>
      <c r="AF492" s="151">
        <v>25810</v>
      </c>
      <c r="AG492" s="153">
        <f>2500+1500</f>
        <v>4000</v>
      </c>
      <c r="AH492" s="151"/>
      <c r="AI492" s="153"/>
      <c r="AJ492" s="151"/>
      <c r="AK492" s="153"/>
      <c r="AL492" s="151"/>
      <c r="AM492" s="153"/>
      <c r="AN492" s="151"/>
      <c r="AO492" s="153"/>
      <c r="AP492" s="61">
        <f t="shared" si="93"/>
        <v>130888</v>
      </c>
      <c r="AQ492" s="75">
        <f t="shared" si="94"/>
        <v>153888</v>
      </c>
      <c r="AR492" s="150" t="s">
        <v>342</v>
      </c>
    </row>
    <row r="493" spans="1:44" x14ac:dyDescent="0.25">
      <c r="A493" s="4" t="s">
        <v>332</v>
      </c>
      <c r="B493" s="44" t="s">
        <v>343</v>
      </c>
      <c r="C493" s="68" t="s">
        <v>57</v>
      </c>
      <c r="D493" s="151"/>
      <c r="E493" s="153">
        <v>72282</v>
      </c>
      <c r="F493" s="151"/>
      <c r="G493" s="153"/>
      <c r="H493" s="151"/>
      <c r="I493" s="153"/>
      <c r="J493" s="151"/>
      <c r="K493" s="153"/>
      <c r="L493" s="151"/>
      <c r="M493" s="153"/>
      <c r="N493" s="151"/>
      <c r="O493" s="153"/>
      <c r="P493" s="151"/>
      <c r="Q493" s="153"/>
      <c r="R493" s="151"/>
      <c r="S493" s="153">
        <v>2280</v>
      </c>
      <c r="T493" s="151"/>
      <c r="U493" s="153">
        <v>1488</v>
      </c>
      <c r="V493" s="151"/>
      <c r="W493" s="153"/>
      <c r="X493" s="151"/>
      <c r="Y493" s="153"/>
      <c r="Z493" s="61">
        <f t="shared" si="91"/>
        <v>0</v>
      </c>
      <c r="AA493" s="75">
        <f t="shared" si="92"/>
        <v>76050</v>
      </c>
      <c r="AB493" s="151"/>
      <c r="AC493" s="153"/>
      <c r="AD493" s="151"/>
      <c r="AE493" s="153">
        <v>1000</v>
      </c>
      <c r="AF493" s="151"/>
      <c r="AG493" s="153">
        <v>3900</v>
      </c>
      <c r="AH493" s="151"/>
      <c r="AI493" s="153"/>
      <c r="AJ493" s="151"/>
      <c r="AK493" s="153"/>
      <c r="AL493" s="151"/>
      <c r="AM493" s="153"/>
      <c r="AN493" s="151"/>
      <c r="AO493" s="153"/>
      <c r="AP493" s="61">
        <f t="shared" si="93"/>
        <v>0</v>
      </c>
      <c r="AQ493" s="75">
        <f t="shared" si="94"/>
        <v>80950</v>
      </c>
      <c r="AR493" s="150"/>
    </row>
    <row r="494" spans="1:44" ht="26.25" x14ac:dyDescent="0.25">
      <c r="A494" s="4" t="s">
        <v>332</v>
      </c>
      <c r="B494" s="4" t="s">
        <v>344</v>
      </c>
      <c r="C494" s="5" t="s">
        <v>60</v>
      </c>
      <c r="D494" s="151"/>
      <c r="E494" s="153"/>
      <c r="F494" s="151"/>
      <c r="G494" s="153"/>
      <c r="H494" s="151"/>
      <c r="I494" s="153"/>
      <c r="J494" s="151"/>
      <c r="K494" s="153"/>
      <c r="L494" s="151"/>
      <c r="M494" s="153"/>
      <c r="N494" s="151"/>
      <c r="O494" s="153"/>
      <c r="P494" s="151"/>
      <c r="Q494" s="153"/>
      <c r="R494" s="151"/>
      <c r="S494" s="153"/>
      <c r="T494" s="151"/>
      <c r="U494" s="153"/>
      <c r="V494" s="151"/>
      <c r="W494" s="153"/>
      <c r="X494" s="151"/>
      <c r="Y494" s="153"/>
      <c r="Z494" s="61">
        <f t="shared" si="91"/>
        <v>0</v>
      </c>
      <c r="AA494" s="75">
        <f t="shared" si="92"/>
        <v>0</v>
      </c>
      <c r="AB494" s="151"/>
      <c r="AC494" s="153"/>
      <c r="AD494" s="151">
        <v>16600</v>
      </c>
      <c r="AE494" s="153">
        <f>1800+1800+7000+6000</f>
        <v>16600</v>
      </c>
      <c r="AF494" s="151"/>
      <c r="AG494" s="153"/>
      <c r="AH494" s="151"/>
      <c r="AI494" s="153"/>
      <c r="AJ494" s="151"/>
      <c r="AK494" s="153"/>
      <c r="AL494" s="151"/>
      <c r="AM494" s="153"/>
      <c r="AN494" s="151"/>
      <c r="AO494" s="153"/>
      <c r="AP494" s="61">
        <f t="shared" si="93"/>
        <v>16600</v>
      </c>
      <c r="AQ494" s="75">
        <f t="shared" si="94"/>
        <v>16600</v>
      </c>
      <c r="AR494" s="150" t="s">
        <v>342</v>
      </c>
    </row>
    <row r="495" spans="1:44" x14ac:dyDescent="0.25">
      <c r="A495" s="4" t="s">
        <v>332</v>
      </c>
      <c r="B495" s="4" t="s">
        <v>98</v>
      </c>
      <c r="C495" s="5" t="s">
        <v>99</v>
      </c>
      <c r="D495" s="151">
        <v>178109</v>
      </c>
      <c r="E495" s="153">
        <v>177599</v>
      </c>
      <c r="F495" s="151">
        <v>800</v>
      </c>
      <c r="G495" s="153">
        <v>600</v>
      </c>
      <c r="H495" s="151"/>
      <c r="I495" s="153"/>
      <c r="J495" s="151"/>
      <c r="K495" s="153"/>
      <c r="L495" s="151"/>
      <c r="M495" s="153"/>
      <c r="N495" s="151"/>
      <c r="O495" s="153"/>
      <c r="P495" s="151"/>
      <c r="Q495" s="153"/>
      <c r="R495" s="151">
        <v>1300</v>
      </c>
      <c r="S495" s="153">
        <v>1000</v>
      </c>
      <c r="T495" s="151"/>
      <c r="U495" s="153"/>
      <c r="V495" s="151"/>
      <c r="W495" s="153"/>
      <c r="X495" s="151"/>
      <c r="Y495" s="153"/>
      <c r="Z495" s="61">
        <f t="shared" si="91"/>
        <v>180209</v>
      </c>
      <c r="AA495" s="75">
        <f t="shared" si="92"/>
        <v>179199</v>
      </c>
      <c r="AB495" s="151">
        <v>300</v>
      </c>
      <c r="AC495" s="153">
        <v>50</v>
      </c>
      <c r="AD495" s="151">
        <v>2000</v>
      </c>
      <c r="AE495" s="153">
        <v>11000</v>
      </c>
      <c r="AF495" s="151">
        <v>2300</v>
      </c>
      <c r="AG495" s="153">
        <v>2000</v>
      </c>
      <c r="AH495" s="151"/>
      <c r="AI495" s="153"/>
      <c r="AJ495" s="151"/>
      <c r="AK495" s="153"/>
      <c r="AL495" s="151"/>
      <c r="AM495" s="153"/>
      <c r="AN495" s="151"/>
      <c r="AO495" s="153"/>
      <c r="AP495" s="61">
        <f t="shared" si="93"/>
        <v>184809</v>
      </c>
      <c r="AQ495" s="75">
        <f t="shared" si="94"/>
        <v>192249</v>
      </c>
      <c r="AR495" s="150" t="s">
        <v>342</v>
      </c>
    </row>
    <row r="496" spans="1:44" x14ac:dyDescent="0.25">
      <c r="A496" s="4" t="s">
        <v>332</v>
      </c>
      <c r="B496" s="4" t="s">
        <v>345</v>
      </c>
      <c r="C496" s="5" t="s">
        <v>152</v>
      </c>
      <c r="D496" s="151"/>
      <c r="E496" s="153"/>
      <c r="F496" s="151"/>
      <c r="G496" s="153"/>
      <c r="H496" s="151"/>
      <c r="I496" s="153"/>
      <c r="J496" s="151"/>
      <c r="K496" s="153"/>
      <c r="L496" s="151"/>
      <c r="M496" s="153"/>
      <c r="N496" s="151"/>
      <c r="O496" s="153"/>
      <c r="P496" s="151"/>
      <c r="Q496" s="153"/>
      <c r="R496" s="151"/>
      <c r="S496" s="153"/>
      <c r="T496" s="151"/>
      <c r="U496" s="153"/>
      <c r="V496" s="151"/>
      <c r="W496" s="153"/>
      <c r="X496" s="151"/>
      <c r="Y496" s="153"/>
      <c r="Z496" s="61">
        <f t="shared" si="91"/>
        <v>0</v>
      </c>
      <c r="AA496" s="75">
        <f t="shared" si="92"/>
        <v>0</v>
      </c>
      <c r="AB496" s="151"/>
      <c r="AC496" s="153"/>
      <c r="AD496" s="151">
        <v>100</v>
      </c>
      <c r="AE496" s="153">
        <v>50</v>
      </c>
      <c r="AF496" s="151">
        <v>300</v>
      </c>
      <c r="AG496" s="153">
        <v>100</v>
      </c>
      <c r="AH496" s="151"/>
      <c r="AI496" s="153"/>
      <c r="AJ496" s="151"/>
      <c r="AK496" s="153"/>
      <c r="AL496" s="151"/>
      <c r="AM496" s="153"/>
      <c r="AN496" s="151"/>
      <c r="AO496" s="153"/>
      <c r="AP496" s="61">
        <f t="shared" si="93"/>
        <v>400</v>
      </c>
      <c r="AQ496" s="75">
        <f t="shared" si="94"/>
        <v>150</v>
      </c>
      <c r="AR496" s="150" t="s">
        <v>342</v>
      </c>
    </row>
    <row r="497" spans="1:44" x14ac:dyDescent="0.25">
      <c r="A497" s="4" t="s">
        <v>332</v>
      </c>
      <c r="B497" s="4" t="s">
        <v>346</v>
      </c>
      <c r="C497" s="5" t="s">
        <v>165</v>
      </c>
      <c r="D497" s="151"/>
      <c r="E497" s="153"/>
      <c r="F497" s="151"/>
      <c r="G497" s="153"/>
      <c r="H497" s="151"/>
      <c r="I497" s="153"/>
      <c r="J497" s="151"/>
      <c r="K497" s="153"/>
      <c r="L497" s="151"/>
      <c r="M497" s="153"/>
      <c r="N497" s="151"/>
      <c r="O497" s="153"/>
      <c r="P497" s="151"/>
      <c r="Q497" s="153"/>
      <c r="R497" s="151"/>
      <c r="S497" s="153"/>
      <c r="T497" s="151"/>
      <c r="U497" s="153"/>
      <c r="V497" s="151"/>
      <c r="W497" s="153"/>
      <c r="X497" s="151"/>
      <c r="Y497" s="153"/>
      <c r="Z497" s="61">
        <f t="shared" si="91"/>
        <v>0</v>
      </c>
      <c r="AA497" s="75">
        <f t="shared" si="92"/>
        <v>0</v>
      </c>
      <c r="AB497" s="151"/>
      <c r="AC497" s="153"/>
      <c r="AD497" s="151"/>
      <c r="AE497" s="153"/>
      <c r="AF497" s="151"/>
      <c r="AG497" s="153"/>
      <c r="AH497" s="151"/>
      <c r="AI497" s="153"/>
      <c r="AJ497" s="151"/>
      <c r="AK497" s="153"/>
      <c r="AL497" s="151"/>
      <c r="AM497" s="153"/>
      <c r="AN497" s="151">
        <v>54000</v>
      </c>
      <c r="AO497" s="153">
        <v>54000</v>
      </c>
      <c r="AP497" s="61">
        <f t="shared" si="93"/>
        <v>54000</v>
      </c>
      <c r="AQ497" s="75">
        <f t="shared" si="94"/>
        <v>54000</v>
      </c>
      <c r="AR497" s="150" t="s">
        <v>342</v>
      </c>
    </row>
    <row r="498" spans="1:44" ht="41.25" customHeight="1" x14ac:dyDescent="0.25">
      <c r="A498" s="4" t="s">
        <v>332</v>
      </c>
      <c r="B498" s="4" t="s">
        <v>347</v>
      </c>
      <c r="C498" s="5" t="s">
        <v>220</v>
      </c>
      <c r="D498" s="151"/>
      <c r="E498" s="153"/>
      <c r="F498" s="151"/>
      <c r="G498" s="153"/>
      <c r="H498" s="151"/>
      <c r="I498" s="153"/>
      <c r="J498" s="151"/>
      <c r="K498" s="153"/>
      <c r="L498" s="151"/>
      <c r="M498" s="153"/>
      <c r="N498" s="151"/>
      <c r="O498" s="153"/>
      <c r="P498" s="151"/>
      <c r="Q498" s="153"/>
      <c r="R498" s="151"/>
      <c r="S498" s="153"/>
      <c r="T498" s="151"/>
      <c r="U498" s="153"/>
      <c r="V498" s="151"/>
      <c r="W498" s="153"/>
      <c r="X498" s="151"/>
      <c r="Y498" s="153"/>
      <c r="Z498" s="61">
        <f t="shared" si="91"/>
        <v>0</v>
      </c>
      <c r="AA498" s="75">
        <f t="shared" si="92"/>
        <v>0</v>
      </c>
      <c r="AB498" s="151"/>
      <c r="AC498" s="153"/>
      <c r="AD498" s="151">
        <v>60000</v>
      </c>
      <c r="AE498" s="153">
        <v>60000</v>
      </c>
      <c r="AF498" s="151"/>
      <c r="AG498" s="153"/>
      <c r="AH498" s="151"/>
      <c r="AI498" s="153"/>
      <c r="AJ498" s="151"/>
      <c r="AK498" s="153"/>
      <c r="AL498" s="151"/>
      <c r="AM498" s="153"/>
      <c r="AN498" s="151"/>
      <c r="AO498" s="153"/>
      <c r="AP498" s="61">
        <f t="shared" si="93"/>
        <v>60000</v>
      </c>
      <c r="AQ498" s="75">
        <f t="shared" si="94"/>
        <v>60000</v>
      </c>
      <c r="AR498" s="150" t="s">
        <v>314</v>
      </c>
    </row>
    <row r="499" spans="1:44" x14ac:dyDescent="0.25">
      <c r="A499" s="4" t="s">
        <v>332</v>
      </c>
      <c r="B499" s="4" t="s">
        <v>348</v>
      </c>
      <c r="C499" s="5" t="s">
        <v>70</v>
      </c>
      <c r="D499" s="151">
        <v>9112</v>
      </c>
      <c r="E499" s="153">
        <f>5104+2332</f>
        <v>7436</v>
      </c>
      <c r="F499" s="151"/>
      <c r="G499" s="153"/>
      <c r="H499" s="151"/>
      <c r="I499" s="153"/>
      <c r="J499" s="151"/>
      <c r="K499" s="153"/>
      <c r="L499" s="151"/>
      <c r="M499" s="153"/>
      <c r="N499" s="151"/>
      <c r="O499" s="153"/>
      <c r="P499" s="151"/>
      <c r="Q499" s="153"/>
      <c r="R499" s="151"/>
      <c r="S499" s="153"/>
      <c r="T499" s="151"/>
      <c r="U499" s="153"/>
      <c r="V499" s="151"/>
      <c r="W499" s="153"/>
      <c r="X499" s="151"/>
      <c r="Y499" s="153"/>
      <c r="Z499" s="61">
        <f t="shared" si="91"/>
        <v>9112</v>
      </c>
      <c r="AA499" s="75">
        <f t="shared" si="92"/>
        <v>7436</v>
      </c>
      <c r="AB499" s="151">
        <v>2560</v>
      </c>
      <c r="AC499" s="153">
        <v>300</v>
      </c>
      <c r="AD499" s="151">
        <v>36780</v>
      </c>
      <c r="AE499" s="153">
        <v>33200</v>
      </c>
      <c r="AF499" s="151">
        <v>35264</v>
      </c>
      <c r="AG499" s="153">
        <v>34154</v>
      </c>
      <c r="AH499" s="151"/>
      <c r="AI499" s="153"/>
      <c r="AJ499" s="151">
        <v>2200</v>
      </c>
      <c r="AK499" s="153">
        <v>2200</v>
      </c>
      <c r="AL499" s="151">
        <v>101022</v>
      </c>
      <c r="AM499" s="153">
        <v>98940</v>
      </c>
      <c r="AN499" s="151"/>
      <c r="AO499" s="153"/>
      <c r="AP499" s="61">
        <f t="shared" si="93"/>
        <v>186938</v>
      </c>
      <c r="AQ499" s="75">
        <f t="shared" si="94"/>
        <v>176230</v>
      </c>
      <c r="AR499" s="150" t="s">
        <v>71</v>
      </c>
    </row>
    <row r="500" spans="1:44" ht="27" customHeight="1" x14ac:dyDescent="0.25">
      <c r="A500" s="4" t="s">
        <v>332</v>
      </c>
      <c r="B500" s="4" t="s">
        <v>349</v>
      </c>
      <c r="C500" s="5" t="s">
        <v>73</v>
      </c>
      <c r="D500" s="151">
        <v>3100</v>
      </c>
      <c r="E500" s="153">
        <v>0</v>
      </c>
      <c r="F500" s="151"/>
      <c r="G500" s="153"/>
      <c r="H500" s="151"/>
      <c r="I500" s="153"/>
      <c r="J500" s="151"/>
      <c r="K500" s="153"/>
      <c r="L500" s="151"/>
      <c r="M500" s="153"/>
      <c r="N500" s="151"/>
      <c r="O500" s="153"/>
      <c r="P500" s="151"/>
      <c r="Q500" s="153"/>
      <c r="R500" s="151"/>
      <c r="S500" s="153"/>
      <c r="T500" s="151"/>
      <c r="U500" s="153"/>
      <c r="V500" s="151"/>
      <c r="W500" s="153"/>
      <c r="X500" s="151"/>
      <c r="Y500" s="153"/>
      <c r="Z500" s="61">
        <f t="shared" si="91"/>
        <v>3100</v>
      </c>
      <c r="AA500" s="75">
        <f t="shared" si="92"/>
        <v>0</v>
      </c>
      <c r="AB500" s="151">
        <v>0</v>
      </c>
      <c r="AC500" s="153"/>
      <c r="AD500" s="151">
        <v>212050</v>
      </c>
      <c r="AE500" s="153">
        <v>167920</v>
      </c>
      <c r="AF500" s="151">
        <v>2150</v>
      </c>
      <c r="AG500" s="153">
        <v>1200</v>
      </c>
      <c r="AH500" s="151"/>
      <c r="AI500" s="153"/>
      <c r="AJ500" s="151">
        <v>3000</v>
      </c>
      <c r="AK500" s="153"/>
      <c r="AL500" s="151">
        <v>24100</v>
      </c>
      <c r="AM500" s="153">
        <v>30400</v>
      </c>
      <c r="AN500" s="151"/>
      <c r="AO500" s="153"/>
      <c r="AP500" s="61">
        <f t="shared" si="93"/>
        <v>244400</v>
      </c>
      <c r="AQ500" s="75">
        <f t="shared" si="94"/>
        <v>199520</v>
      </c>
      <c r="AR500" s="150" t="s">
        <v>74</v>
      </c>
    </row>
    <row r="501" spans="1:44" s="149" customFormat="1" ht="26.25" x14ac:dyDescent="0.25">
      <c r="A501" s="4" t="s">
        <v>332</v>
      </c>
      <c r="B501" s="4" t="s">
        <v>350</v>
      </c>
      <c r="C501" s="7" t="s">
        <v>79</v>
      </c>
      <c r="D501" s="151"/>
      <c r="E501" s="153"/>
      <c r="F501" s="151"/>
      <c r="G501" s="153"/>
      <c r="H501" s="151"/>
      <c r="I501" s="153"/>
      <c r="J501" s="151"/>
      <c r="K501" s="153"/>
      <c r="L501" s="151"/>
      <c r="M501" s="153"/>
      <c r="N501" s="151"/>
      <c r="O501" s="153"/>
      <c r="P501" s="151"/>
      <c r="Q501" s="153"/>
      <c r="R501" s="151"/>
      <c r="S501" s="153"/>
      <c r="T501" s="151"/>
      <c r="U501" s="153"/>
      <c r="V501" s="151"/>
      <c r="W501" s="153"/>
      <c r="X501" s="151"/>
      <c r="Y501" s="153"/>
      <c r="Z501" s="61">
        <f t="shared" si="91"/>
        <v>0</v>
      </c>
      <c r="AA501" s="75">
        <f t="shared" si="92"/>
        <v>0</v>
      </c>
      <c r="AB501" s="151"/>
      <c r="AC501" s="153"/>
      <c r="AD501" s="151"/>
      <c r="AE501" s="153">
        <v>30000</v>
      </c>
      <c r="AF501" s="151"/>
      <c r="AG501" s="153">
        <f>40600-AE501</f>
        <v>10600</v>
      </c>
      <c r="AH501" s="151"/>
      <c r="AI501" s="153"/>
      <c r="AJ501" s="151"/>
      <c r="AK501" s="153"/>
      <c r="AL501" s="151"/>
      <c r="AM501" s="153"/>
      <c r="AN501" s="151"/>
      <c r="AO501" s="153"/>
      <c r="AP501" s="61">
        <f t="shared" si="93"/>
        <v>0</v>
      </c>
      <c r="AQ501" s="75">
        <f t="shared" si="94"/>
        <v>40600</v>
      </c>
      <c r="AR501" s="150"/>
    </row>
    <row r="502" spans="1:44" x14ac:dyDescent="0.25">
      <c r="A502" s="4" t="s">
        <v>332</v>
      </c>
      <c r="B502" s="4" t="s">
        <v>351</v>
      </c>
      <c r="C502" s="5" t="s">
        <v>79</v>
      </c>
      <c r="D502" s="151"/>
      <c r="E502" s="153"/>
      <c r="F502" s="151"/>
      <c r="G502" s="153"/>
      <c r="H502" s="151"/>
      <c r="I502" s="153"/>
      <c r="J502" s="151"/>
      <c r="K502" s="153"/>
      <c r="L502" s="151"/>
      <c r="M502" s="153"/>
      <c r="N502" s="151"/>
      <c r="O502" s="153"/>
      <c r="P502" s="151"/>
      <c r="Q502" s="153"/>
      <c r="R502" s="151"/>
      <c r="S502" s="153"/>
      <c r="T502" s="151"/>
      <c r="U502" s="153"/>
      <c r="V502" s="151"/>
      <c r="W502" s="153"/>
      <c r="X502" s="151"/>
      <c r="Y502" s="153"/>
      <c r="Z502" s="61">
        <f t="shared" si="91"/>
        <v>0</v>
      </c>
      <c r="AA502" s="75">
        <f t="shared" si="92"/>
        <v>0</v>
      </c>
      <c r="AB502" s="151"/>
      <c r="AC502" s="153"/>
      <c r="AD502" s="151">
        <v>59000</v>
      </c>
      <c r="AE502" s="153">
        <v>9000</v>
      </c>
      <c r="AF502" s="151">
        <v>1000</v>
      </c>
      <c r="AG502" s="153">
        <v>1000</v>
      </c>
      <c r="AH502" s="151"/>
      <c r="AI502" s="153"/>
      <c r="AJ502" s="151"/>
      <c r="AK502" s="153"/>
      <c r="AL502" s="151"/>
      <c r="AM502" s="153"/>
      <c r="AN502" s="151"/>
      <c r="AO502" s="153"/>
      <c r="AP502" s="61">
        <f t="shared" si="93"/>
        <v>60000</v>
      </c>
      <c r="AQ502" s="75">
        <f t="shared" si="94"/>
        <v>10000</v>
      </c>
      <c r="AR502" s="150" t="s">
        <v>74</v>
      </c>
    </row>
    <row r="503" spans="1:44" x14ac:dyDescent="0.25">
      <c r="A503" s="4" t="s">
        <v>332</v>
      </c>
      <c r="B503" s="161" t="s">
        <v>352</v>
      </c>
      <c r="C503" s="5" t="s">
        <v>70</v>
      </c>
      <c r="D503" s="151"/>
      <c r="E503" s="153"/>
      <c r="F503" s="151"/>
      <c r="G503" s="153"/>
      <c r="H503" s="151"/>
      <c r="I503" s="153"/>
      <c r="J503" s="151"/>
      <c r="K503" s="153"/>
      <c r="L503" s="151"/>
      <c r="M503" s="153"/>
      <c r="N503" s="151"/>
      <c r="O503" s="153"/>
      <c r="P503" s="151"/>
      <c r="Q503" s="153"/>
      <c r="R503" s="151"/>
      <c r="S503" s="153"/>
      <c r="T503" s="151"/>
      <c r="U503" s="153"/>
      <c r="V503" s="151"/>
      <c r="W503" s="153"/>
      <c r="X503" s="151"/>
      <c r="Y503" s="153"/>
      <c r="Z503" s="61">
        <f t="shared" si="91"/>
        <v>0</v>
      </c>
      <c r="AA503" s="75">
        <f t="shared" si="92"/>
        <v>0</v>
      </c>
      <c r="AB503" s="151"/>
      <c r="AC503" s="153"/>
      <c r="AD503" s="151"/>
      <c r="AE503" s="153"/>
      <c r="AF503" s="151"/>
      <c r="AG503" s="153"/>
      <c r="AH503" s="151"/>
      <c r="AI503" s="153"/>
      <c r="AJ503" s="151">
        <v>28000</v>
      </c>
      <c r="AK503" s="153"/>
      <c r="AL503" s="151"/>
      <c r="AM503" s="153"/>
      <c r="AN503" s="151"/>
      <c r="AO503" s="153"/>
      <c r="AP503" s="61">
        <f t="shared" si="93"/>
        <v>28000</v>
      </c>
      <c r="AQ503" s="75">
        <f t="shared" si="94"/>
        <v>0</v>
      </c>
      <c r="AR503" s="150" t="s">
        <v>71</v>
      </c>
    </row>
    <row r="504" spans="1:44" ht="26.25" x14ac:dyDescent="0.25">
      <c r="A504" s="4" t="s">
        <v>332</v>
      </c>
      <c r="B504" s="161" t="s">
        <v>353</v>
      </c>
      <c r="C504" s="5" t="s">
        <v>70</v>
      </c>
      <c r="D504" s="151"/>
      <c r="E504" s="153"/>
      <c r="F504" s="151"/>
      <c r="G504" s="153"/>
      <c r="H504" s="151"/>
      <c r="I504" s="153"/>
      <c r="J504" s="151"/>
      <c r="K504" s="153"/>
      <c r="L504" s="151"/>
      <c r="M504" s="153"/>
      <c r="N504" s="151"/>
      <c r="O504" s="153"/>
      <c r="P504" s="151"/>
      <c r="Q504" s="153"/>
      <c r="R504" s="151"/>
      <c r="S504" s="153"/>
      <c r="T504" s="151"/>
      <c r="U504" s="153"/>
      <c r="V504" s="151"/>
      <c r="W504" s="153"/>
      <c r="X504" s="151"/>
      <c r="Y504" s="153"/>
      <c r="Z504" s="61">
        <f t="shared" si="91"/>
        <v>0</v>
      </c>
      <c r="AA504" s="75">
        <f t="shared" si="92"/>
        <v>0</v>
      </c>
      <c r="AB504" s="151"/>
      <c r="AC504" s="153"/>
      <c r="AD504" s="151"/>
      <c r="AE504" s="153"/>
      <c r="AF504" s="151"/>
      <c r="AG504" s="153"/>
      <c r="AH504" s="151"/>
      <c r="AI504" s="153"/>
      <c r="AJ504" s="151">
        <v>59939</v>
      </c>
      <c r="AK504" s="153"/>
      <c r="AL504" s="151"/>
      <c r="AM504" s="153"/>
      <c r="AN504" s="151"/>
      <c r="AO504" s="153"/>
      <c r="AP504" s="61">
        <f t="shared" si="93"/>
        <v>59939</v>
      </c>
      <c r="AQ504" s="75">
        <f t="shared" si="94"/>
        <v>0</v>
      </c>
      <c r="AR504" s="150" t="s">
        <v>71</v>
      </c>
    </row>
    <row r="505" spans="1:44" ht="39" x14ac:dyDescent="0.25">
      <c r="A505" s="4" t="s">
        <v>332</v>
      </c>
      <c r="B505" s="4" t="s">
        <v>354</v>
      </c>
      <c r="C505" s="5" t="s">
        <v>311</v>
      </c>
      <c r="D505" s="151"/>
      <c r="E505" s="153"/>
      <c r="F505" s="151"/>
      <c r="G505" s="153"/>
      <c r="H505" s="151"/>
      <c r="I505" s="153"/>
      <c r="J505" s="151"/>
      <c r="K505" s="153"/>
      <c r="L505" s="151"/>
      <c r="M505" s="153"/>
      <c r="N505" s="151"/>
      <c r="O505" s="153"/>
      <c r="P505" s="151"/>
      <c r="Q505" s="153"/>
      <c r="R505" s="151"/>
      <c r="S505" s="153"/>
      <c r="T505" s="151"/>
      <c r="U505" s="153"/>
      <c r="V505" s="151"/>
      <c r="W505" s="153"/>
      <c r="X505" s="151"/>
      <c r="Y505" s="153"/>
      <c r="Z505" s="61">
        <f t="shared" si="91"/>
        <v>0</v>
      </c>
      <c r="AA505" s="75">
        <f t="shared" si="92"/>
        <v>0</v>
      </c>
      <c r="AB505" s="151"/>
      <c r="AC505" s="153"/>
      <c r="AD505" s="151"/>
      <c r="AE505" s="153"/>
      <c r="AF505" s="151"/>
      <c r="AG505" s="153"/>
      <c r="AH505" s="151"/>
      <c r="AI505" s="153"/>
      <c r="AJ505" s="151"/>
      <c r="AK505" s="153"/>
      <c r="AL505" s="151">
        <v>14000</v>
      </c>
      <c r="AM505" s="153">
        <v>14000</v>
      </c>
      <c r="AN505" s="151"/>
      <c r="AO505" s="153"/>
      <c r="AP505" s="61">
        <f t="shared" si="93"/>
        <v>14000</v>
      </c>
      <c r="AQ505" s="75">
        <f t="shared" si="94"/>
        <v>14000</v>
      </c>
      <c r="AR505" s="150" t="s">
        <v>342</v>
      </c>
    </row>
    <row r="506" spans="1:44" ht="26.25" x14ac:dyDescent="0.25">
      <c r="A506" s="4" t="s">
        <v>332</v>
      </c>
      <c r="B506" s="4" t="s">
        <v>355</v>
      </c>
      <c r="C506" s="5" t="s">
        <v>311</v>
      </c>
      <c r="D506" s="151"/>
      <c r="E506" s="153"/>
      <c r="F506" s="151"/>
      <c r="G506" s="153"/>
      <c r="H506" s="151"/>
      <c r="I506" s="153"/>
      <c r="J506" s="151"/>
      <c r="K506" s="153"/>
      <c r="L506" s="151"/>
      <c r="M506" s="153"/>
      <c r="N506" s="151"/>
      <c r="O506" s="153"/>
      <c r="P506" s="151"/>
      <c r="Q506" s="153"/>
      <c r="R506" s="151"/>
      <c r="S506" s="153"/>
      <c r="T506" s="151"/>
      <c r="U506" s="153"/>
      <c r="V506" s="151"/>
      <c r="W506" s="153"/>
      <c r="X506" s="151"/>
      <c r="Y506" s="153"/>
      <c r="Z506" s="61">
        <f t="shared" si="91"/>
        <v>0</v>
      </c>
      <c r="AA506" s="75">
        <f t="shared" si="92"/>
        <v>0</v>
      </c>
      <c r="AB506" s="151"/>
      <c r="AC506" s="153"/>
      <c r="AD506" s="151"/>
      <c r="AE506" s="153"/>
      <c r="AF506" s="151"/>
      <c r="AG506" s="153"/>
      <c r="AH506" s="151"/>
      <c r="AI506" s="153"/>
      <c r="AJ506" s="151"/>
      <c r="AK506" s="153"/>
      <c r="AL506" s="151">
        <f>1500+447+1503+1600+1500+1500+1300</f>
        <v>9350</v>
      </c>
      <c r="AM506" s="153">
        <v>9350</v>
      </c>
      <c r="AN506" s="151"/>
      <c r="AO506" s="153"/>
      <c r="AP506" s="61">
        <f t="shared" si="93"/>
        <v>9350</v>
      </c>
      <c r="AQ506" s="75">
        <f t="shared" si="94"/>
        <v>9350</v>
      </c>
      <c r="AR506" s="150" t="s">
        <v>342</v>
      </c>
    </row>
    <row r="507" spans="1:44" ht="30" x14ac:dyDescent="0.25">
      <c r="A507" s="4" t="s">
        <v>332</v>
      </c>
      <c r="B507" s="4" t="s">
        <v>356</v>
      </c>
      <c r="C507" s="5" t="s">
        <v>311</v>
      </c>
      <c r="D507" s="151"/>
      <c r="E507" s="153"/>
      <c r="F507" s="151"/>
      <c r="G507" s="153"/>
      <c r="H507" s="151"/>
      <c r="I507" s="153"/>
      <c r="J507" s="151"/>
      <c r="K507" s="153"/>
      <c r="L507" s="151"/>
      <c r="M507" s="153"/>
      <c r="N507" s="151"/>
      <c r="O507" s="153"/>
      <c r="P507" s="151"/>
      <c r="Q507" s="153"/>
      <c r="R507" s="151"/>
      <c r="S507" s="153"/>
      <c r="T507" s="151"/>
      <c r="U507" s="153"/>
      <c r="V507" s="151"/>
      <c r="W507" s="153"/>
      <c r="X507" s="151"/>
      <c r="Y507" s="153"/>
      <c r="Z507" s="61">
        <f t="shared" si="91"/>
        <v>0</v>
      </c>
      <c r="AA507" s="75">
        <f t="shared" si="92"/>
        <v>0</v>
      </c>
      <c r="AB507" s="151"/>
      <c r="AC507" s="153"/>
      <c r="AD507" s="151"/>
      <c r="AE507" s="153"/>
      <c r="AF507" s="151"/>
      <c r="AG507" s="153"/>
      <c r="AH507" s="151"/>
      <c r="AI507" s="153"/>
      <c r="AJ507" s="151"/>
      <c r="AK507" s="153"/>
      <c r="AL507" s="151">
        <v>1500</v>
      </c>
      <c r="AM507" s="153">
        <v>1500</v>
      </c>
      <c r="AN507" s="151"/>
      <c r="AO507" s="153"/>
      <c r="AP507" s="61">
        <f t="shared" si="93"/>
        <v>1500</v>
      </c>
      <c r="AQ507" s="75">
        <f t="shared" si="94"/>
        <v>1500</v>
      </c>
      <c r="AR507" s="150" t="s">
        <v>102</v>
      </c>
    </row>
    <row r="508" spans="1:44" ht="26.25" x14ac:dyDescent="0.25">
      <c r="A508" s="4" t="s">
        <v>332</v>
      </c>
      <c r="B508" s="4" t="s">
        <v>357</v>
      </c>
      <c r="C508" s="5" t="s">
        <v>311</v>
      </c>
      <c r="D508" s="151"/>
      <c r="E508" s="153"/>
      <c r="F508" s="151"/>
      <c r="G508" s="153"/>
      <c r="H508" s="151"/>
      <c r="I508" s="153"/>
      <c r="J508" s="151"/>
      <c r="K508" s="153"/>
      <c r="L508" s="151"/>
      <c r="M508" s="153"/>
      <c r="N508" s="151"/>
      <c r="O508" s="153"/>
      <c r="P508" s="151"/>
      <c r="Q508" s="153"/>
      <c r="R508" s="151"/>
      <c r="S508" s="153"/>
      <c r="T508" s="151"/>
      <c r="U508" s="153"/>
      <c r="V508" s="151"/>
      <c r="W508" s="153"/>
      <c r="X508" s="151"/>
      <c r="Y508" s="153"/>
      <c r="Z508" s="61">
        <f t="shared" si="91"/>
        <v>0</v>
      </c>
      <c r="AA508" s="75">
        <f t="shared" si="92"/>
        <v>0</v>
      </c>
      <c r="AB508" s="151"/>
      <c r="AC508" s="153"/>
      <c r="AD508" s="151"/>
      <c r="AE508" s="153"/>
      <c r="AF508" s="151"/>
      <c r="AG508" s="153"/>
      <c r="AH508" s="151"/>
      <c r="AI508" s="153"/>
      <c r="AJ508" s="151"/>
      <c r="AK508" s="153"/>
      <c r="AL508" s="151">
        <v>21704</v>
      </c>
      <c r="AM508" s="153">
        <v>21704</v>
      </c>
      <c r="AN508" s="151"/>
      <c r="AO508" s="153"/>
      <c r="AP508" s="61">
        <f t="shared" si="93"/>
        <v>21704</v>
      </c>
      <c r="AQ508" s="75">
        <f t="shared" si="94"/>
        <v>21704</v>
      </c>
      <c r="AR508" s="150" t="s">
        <v>80</v>
      </c>
    </row>
    <row r="509" spans="1:44" ht="26.25" x14ac:dyDescent="0.25">
      <c r="A509" s="4" t="s">
        <v>332</v>
      </c>
      <c r="B509" s="4" t="s">
        <v>358</v>
      </c>
      <c r="C509" s="5" t="s">
        <v>73</v>
      </c>
      <c r="D509" s="151"/>
      <c r="E509" s="153"/>
      <c r="F509" s="151">
        <v>5823</v>
      </c>
      <c r="G509" s="153">
        <v>5823</v>
      </c>
      <c r="H509" s="151"/>
      <c r="I509" s="153"/>
      <c r="J509" s="151"/>
      <c r="K509" s="153"/>
      <c r="L509" s="151"/>
      <c r="M509" s="153"/>
      <c r="N509" s="151"/>
      <c r="O509" s="153"/>
      <c r="P509" s="151"/>
      <c r="Q509" s="153"/>
      <c r="R509" s="151"/>
      <c r="S509" s="153"/>
      <c r="T509" s="151"/>
      <c r="U509" s="153"/>
      <c r="V509" s="151"/>
      <c r="W509" s="153"/>
      <c r="X509" s="151"/>
      <c r="Y509" s="153"/>
      <c r="Z509" s="61">
        <f t="shared" si="91"/>
        <v>5823</v>
      </c>
      <c r="AA509" s="75">
        <f t="shared" si="92"/>
        <v>5823</v>
      </c>
      <c r="AB509" s="151"/>
      <c r="AC509" s="153"/>
      <c r="AD509" s="151"/>
      <c r="AE509" s="153"/>
      <c r="AF509" s="151"/>
      <c r="AG509" s="153"/>
      <c r="AH509" s="151"/>
      <c r="AI509" s="153"/>
      <c r="AJ509" s="151"/>
      <c r="AK509" s="153"/>
      <c r="AL509" s="151"/>
      <c r="AM509" s="153"/>
      <c r="AN509" s="151"/>
      <c r="AO509" s="153"/>
      <c r="AP509" s="61">
        <f t="shared" si="93"/>
        <v>5823</v>
      </c>
      <c r="AQ509" s="75">
        <f t="shared" si="94"/>
        <v>5823</v>
      </c>
      <c r="AR509" s="150" t="s">
        <v>80</v>
      </c>
    </row>
    <row r="510" spans="1:44" x14ac:dyDescent="0.25">
      <c r="A510" s="4" t="s">
        <v>332</v>
      </c>
      <c r="B510" s="4" t="s">
        <v>359</v>
      </c>
      <c r="C510" s="5" t="s">
        <v>79</v>
      </c>
      <c r="D510" s="151"/>
      <c r="E510" s="153">
        <f>16770+4095</f>
        <v>20865</v>
      </c>
      <c r="F510" s="151"/>
      <c r="G510" s="153"/>
      <c r="H510" s="151"/>
      <c r="I510" s="153"/>
      <c r="J510" s="151"/>
      <c r="K510" s="153"/>
      <c r="L510" s="151"/>
      <c r="M510" s="153"/>
      <c r="N510" s="151"/>
      <c r="O510" s="153"/>
      <c r="P510" s="151"/>
      <c r="Q510" s="153"/>
      <c r="R510" s="151"/>
      <c r="S510" s="153"/>
      <c r="T510" s="151"/>
      <c r="U510" s="153"/>
      <c r="V510" s="151"/>
      <c r="W510" s="153"/>
      <c r="X510" s="151"/>
      <c r="Y510" s="153"/>
      <c r="Z510" s="61">
        <f t="shared" si="91"/>
        <v>0</v>
      </c>
      <c r="AA510" s="75">
        <f t="shared" si="92"/>
        <v>20865</v>
      </c>
      <c r="AB510" s="151"/>
      <c r="AC510" s="153">
        <v>3025</v>
      </c>
      <c r="AD510" s="151">
        <v>64070</v>
      </c>
      <c r="AE510" s="153">
        <v>21074</v>
      </c>
      <c r="AF510" s="151"/>
      <c r="AG510" s="153">
        <v>3386</v>
      </c>
      <c r="AH510" s="151"/>
      <c r="AI510" s="153"/>
      <c r="AJ510" s="151"/>
      <c r="AK510" s="153">
        <v>300</v>
      </c>
      <c r="AL510" s="151"/>
      <c r="AM510" s="153"/>
      <c r="AN510" s="151"/>
      <c r="AO510" s="153"/>
      <c r="AP510" s="61">
        <f t="shared" si="93"/>
        <v>64070</v>
      </c>
      <c r="AQ510" s="75">
        <f t="shared" si="94"/>
        <v>48650</v>
      </c>
      <c r="AR510" s="150" t="s">
        <v>80</v>
      </c>
    </row>
    <row r="511" spans="1:44" ht="26.25" x14ac:dyDescent="0.25">
      <c r="A511" s="4" t="s">
        <v>332</v>
      </c>
      <c r="B511" s="4" t="s">
        <v>360</v>
      </c>
      <c r="C511" s="5" t="s">
        <v>79</v>
      </c>
      <c r="D511" s="151"/>
      <c r="E511" s="153"/>
      <c r="F511" s="151"/>
      <c r="G511" s="153"/>
      <c r="H511" s="151"/>
      <c r="I511" s="153"/>
      <c r="J511" s="151"/>
      <c r="K511" s="153"/>
      <c r="L511" s="151"/>
      <c r="M511" s="153"/>
      <c r="N511" s="151"/>
      <c r="O511" s="153"/>
      <c r="P511" s="151"/>
      <c r="Q511" s="153"/>
      <c r="R511" s="151"/>
      <c r="S511" s="153"/>
      <c r="T511" s="151"/>
      <c r="U511" s="153"/>
      <c r="V511" s="151"/>
      <c r="W511" s="153"/>
      <c r="X511" s="151"/>
      <c r="Y511" s="153"/>
      <c r="Z511" s="61">
        <f t="shared" si="91"/>
        <v>0</v>
      </c>
      <c r="AA511" s="75">
        <f t="shared" si="92"/>
        <v>0</v>
      </c>
      <c r="AB511" s="151"/>
      <c r="AC511" s="153"/>
      <c r="AD511" s="151">
        <v>4650</v>
      </c>
      <c r="AE511" s="153">
        <v>4650</v>
      </c>
      <c r="AF511" s="151">
        <v>750</v>
      </c>
      <c r="AG511" s="153">
        <v>850</v>
      </c>
      <c r="AH511" s="151"/>
      <c r="AI511" s="153"/>
      <c r="AJ511" s="151"/>
      <c r="AK511" s="153"/>
      <c r="AL511" s="151"/>
      <c r="AM511" s="153"/>
      <c r="AN511" s="151"/>
      <c r="AO511" s="153"/>
      <c r="AP511" s="61">
        <f t="shared" si="93"/>
        <v>5400</v>
      </c>
      <c r="AQ511" s="75">
        <f t="shared" si="94"/>
        <v>5500</v>
      </c>
      <c r="AR511" s="150" t="s">
        <v>80</v>
      </c>
    </row>
    <row r="512" spans="1:44" x14ac:dyDescent="0.25">
      <c r="A512" s="4" t="s">
        <v>332</v>
      </c>
      <c r="B512" s="4" t="s">
        <v>361</v>
      </c>
      <c r="C512" s="6" t="s">
        <v>79</v>
      </c>
      <c r="D512" s="151"/>
      <c r="E512" s="153"/>
      <c r="F512" s="151"/>
      <c r="G512" s="153"/>
      <c r="H512" s="151"/>
      <c r="I512" s="153"/>
      <c r="J512" s="151"/>
      <c r="K512" s="153"/>
      <c r="L512" s="151"/>
      <c r="M512" s="153"/>
      <c r="N512" s="151"/>
      <c r="O512" s="153"/>
      <c r="P512" s="151"/>
      <c r="Q512" s="153"/>
      <c r="R512" s="151"/>
      <c r="S512" s="153"/>
      <c r="T512" s="151"/>
      <c r="U512" s="153"/>
      <c r="V512" s="151"/>
      <c r="W512" s="153"/>
      <c r="X512" s="151"/>
      <c r="Y512" s="153"/>
      <c r="Z512" s="61">
        <f t="shared" si="91"/>
        <v>0</v>
      </c>
      <c r="AA512" s="75">
        <f t="shared" si="92"/>
        <v>0</v>
      </c>
      <c r="AB512" s="151"/>
      <c r="AC512" s="153"/>
      <c r="AD512" s="151">
        <v>4100</v>
      </c>
      <c r="AE512" s="153">
        <v>5350</v>
      </c>
      <c r="AF512" s="151">
        <v>1250</v>
      </c>
      <c r="AG512" s="153">
        <v>2150</v>
      </c>
      <c r="AH512" s="151"/>
      <c r="AI512" s="153"/>
      <c r="AJ512" s="151"/>
      <c r="AK512" s="153"/>
      <c r="AL512" s="151"/>
      <c r="AM512" s="153"/>
      <c r="AN512" s="151"/>
      <c r="AO512" s="153"/>
      <c r="AP512" s="61">
        <f t="shared" si="93"/>
        <v>5350</v>
      </c>
      <c r="AQ512" s="75">
        <f t="shared" si="94"/>
        <v>7500</v>
      </c>
      <c r="AR512" s="150" t="s">
        <v>80</v>
      </c>
    </row>
    <row r="513" spans="1:44" ht="26.25" x14ac:dyDescent="0.25">
      <c r="A513" s="4" t="s">
        <v>332</v>
      </c>
      <c r="B513" s="4" t="s">
        <v>362</v>
      </c>
      <c r="C513" s="5" t="s">
        <v>86</v>
      </c>
      <c r="D513" s="151"/>
      <c r="E513" s="153"/>
      <c r="F513" s="151"/>
      <c r="G513" s="153"/>
      <c r="H513" s="151"/>
      <c r="I513" s="153"/>
      <c r="J513" s="151"/>
      <c r="K513" s="153"/>
      <c r="L513" s="151"/>
      <c r="M513" s="153"/>
      <c r="N513" s="151"/>
      <c r="O513" s="153"/>
      <c r="P513" s="151"/>
      <c r="Q513" s="153"/>
      <c r="R513" s="151"/>
      <c r="S513" s="153"/>
      <c r="T513" s="151"/>
      <c r="U513" s="153"/>
      <c r="V513" s="151"/>
      <c r="W513" s="153"/>
      <c r="X513" s="151"/>
      <c r="Y513" s="153"/>
      <c r="Z513" s="61">
        <f t="shared" si="91"/>
        <v>0</v>
      </c>
      <c r="AA513" s="75">
        <f t="shared" si="92"/>
        <v>0</v>
      </c>
      <c r="AB513" s="151"/>
      <c r="AC513" s="153"/>
      <c r="AD513" s="151"/>
      <c r="AE513" s="153"/>
      <c r="AF513" s="151"/>
      <c r="AG513" s="153"/>
      <c r="AH513" s="151">
        <v>48934</v>
      </c>
      <c r="AI513" s="153">
        <v>59550</v>
      </c>
      <c r="AJ513" s="151"/>
      <c r="AK513" s="153"/>
      <c r="AL513" s="151"/>
      <c r="AM513" s="153"/>
      <c r="AN513" s="151"/>
      <c r="AO513" s="153"/>
      <c r="AP513" s="61">
        <f t="shared" si="93"/>
        <v>48934</v>
      </c>
      <c r="AQ513" s="75">
        <f t="shared" si="94"/>
        <v>59550</v>
      </c>
      <c r="AR513" s="150" t="s">
        <v>80</v>
      </c>
    </row>
    <row r="514" spans="1:44" ht="26.25" x14ac:dyDescent="0.25">
      <c r="A514" s="4" t="s">
        <v>332</v>
      </c>
      <c r="B514" s="4" t="s">
        <v>363</v>
      </c>
      <c r="C514" s="6" t="s">
        <v>86</v>
      </c>
      <c r="D514" s="151"/>
      <c r="E514" s="153"/>
      <c r="F514" s="151"/>
      <c r="G514" s="153"/>
      <c r="H514" s="151"/>
      <c r="I514" s="153"/>
      <c r="J514" s="151"/>
      <c r="K514" s="153"/>
      <c r="L514" s="151"/>
      <c r="M514" s="153"/>
      <c r="N514" s="151"/>
      <c r="O514" s="153"/>
      <c r="P514" s="151"/>
      <c r="Q514" s="153"/>
      <c r="R514" s="151"/>
      <c r="S514" s="153"/>
      <c r="T514" s="151"/>
      <c r="U514" s="153"/>
      <c r="V514" s="151"/>
      <c r="W514" s="153"/>
      <c r="X514" s="151"/>
      <c r="Y514" s="153"/>
      <c r="Z514" s="61">
        <f t="shared" si="91"/>
        <v>0</v>
      </c>
      <c r="AA514" s="75">
        <f t="shared" si="92"/>
        <v>0</v>
      </c>
      <c r="AB514" s="151"/>
      <c r="AC514" s="153"/>
      <c r="AD514" s="151">
        <v>5380</v>
      </c>
      <c r="AE514" s="153">
        <f>4235+880+870+3000</f>
        <v>8985</v>
      </c>
      <c r="AF514" s="151">
        <v>44620</v>
      </c>
      <c r="AG514" s="153">
        <v>30000</v>
      </c>
      <c r="AH514" s="151"/>
      <c r="AI514" s="153">
        <v>20000</v>
      </c>
      <c r="AJ514" s="151"/>
      <c r="AK514" s="153"/>
      <c r="AL514" s="151"/>
      <c r="AM514" s="153"/>
      <c r="AN514" s="151"/>
      <c r="AO514" s="153"/>
      <c r="AP514" s="61">
        <f t="shared" si="93"/>
        <v>50000</v>
      </c>
      <c r="AQ514" s="75">
        <f t="shared" si="94"/>
        <v>58985</v>
      </c>
      <c r="AR514" s="150" t="s">
        <v>80</v>
      </c>
    </row>
    <row r="515" spans="1:44" ht="39" x14ac:dyDescent="0.25">
      <c r="A515" s="4" t="s">
        <v>332</v>
      </c>
      <c r="B515" s="4" t="s">
        <v>364</v>
      </c>
      <c r="C515" s="5" t="s">
        <v>79</v>
      </c>
      <c r="D515" s="151"/>
      <c r="E515" s="153"/>
      <c r="F515" s="151"/>
      <c r="G515" s="153"/>
      <c r="H515" s="151"/>
      <c r="I515" s="153"/>
      <c r="J515" s="151"/>
      <c r="K515" s="153"/>
      <c r="L515" s="151"/>
      <c r="M515" s="153"/>
      <c r="N515" s="151"/>
      <c r="O515" s="153"/>
      <c r="P515" s="151"/>
      <c r="Q515" s="153"/>
      <c r="R515" s="151"/>
      <c r="S515" s="153"/>
      <c r="T515" s="151"/>
      <c r="U515" s="153"/>
      <c r="V515" s="151"/>
      <c r="W515" s="153"/>
      <c r="X515" s="151"/>
      <c r="Y515" s="153"/>
      <c r="Z515" s="61">
        <f t="shared" si="91"/>
        <v>0</v>
      </c>
      <c r="AA515" s="75">
        <f t="shared" si="92"/>
        <v>0</v>
      </c>
      <c r="AB515" s="151"/>
      <c r="AC515" s="153"/>
      <c r="AD515" s="151">
        <v>15000</v>
      </c>
      <c r="AE515" s="153">
        <v>10000</v>
      </c>
      <c r="AF515" s="151"/>
      <c r="AG515" s="153"/>
      <c r="AH515" s="151"/>
      <c r="AI515" s="153"/>
      <c r="AJ515" s="151"/>
      <c r="AK515" s="153"/>
      <c r="AL515" s="151"/>
      <c r="AM515" s="153"/>
      <c r="AN515" s="151"/>
      <c r="AO515" s="153"/>
      <c r="AP515" s="61">
        <f t="shared" si="93"/>
        <v>15000</v>
      </c>
      <c r="AQ515" s="75">
        <f t="shared" si="94"/>
        <v>10000</v>
      </c>
      <c r="AR515" s="150" t="s">
        <v>80</v>
      </c>
    </row>
    <row r="516" spans="1:44" ht="26.25" x14ac:dyDescent="0.25">
      <c r="A516" s="4" t="s">
        <v>332</v>
      </c>
      <c r="B516" s="4" t="s">
        <v>365</v>
      </c>
      <c r="C516" s="5" t="s">
        <v>79</v>
      </c>
      <c r="D516" s="151"/>
      <c r="E516" s="153"/>
      <c r="F516" s="151"/>
      <c r="G516" s="153"/>
      <c r="H516" s="151"/>
      <c r="I516" s="153"/>
      <c r="J516" s="151"/>
      <c r="K516" s="153"/>
      <c r="L516" s="151"/>
      <c r="M516" s="153"/>
      <c r="N516" s="151"/>
      <c r="O516" s="153"/>
      <c r="P516" s="151"/>
      <c r="Q516" s="153"/>
      <c r="R516" s="151"/>
      <c r="S516" s="153"/>
      <c r="T516" s="151"/>
      <c r="U516" s="153"/>
      <c r="V516" s="151"/>
      <c r="W516" s="153"/>
      <c r="X516" s="151"/>
      <c r="Y516" s="153"/>
      <c r="Z516" s="61">
        <f t="shared" si="91"/>
        <v>0</v>
      </c>
      <c r="AA516" s="75">
        <f t="shared" si="92"/>
        <v>0</v>
      </c>
      <c r="AB516" s="151"/>
      <c r="AC516" s="153"/>
      <c r="AD516" s="151">
        <v>17000</v>
      </c>
      <c r="AE516" s="153">
        <v>17000</v>
      </c>
      <c r="AF516" s="151"/>
      <c r="AG516" s="153"/>
      <c r="AH516" s="151"/>
      <c r="AI516" s="153"/>
      <c r="AJ516" s="151"/>
      <c r="AK516" s="153"/>
      <c r="AL516" s="151"/>
      <c r="AM516" s="153"/>
      <c r="AN516" s="151"/>
      <c r="AO516" s="153"/>
      <c r="AP516" s="61">
        <f t="shared" si="93"/>
        <v>17000</v>
      </c>
      <c r="AQ516" s="75">
        <f t="shared" si="94"/>
        <v>17000</v>
      </c>
      <c r="AR516" s="150" t="s">
        <v>80</v>
      </c>
    </row>
    <row r="517" spans="1:44" ht="26.25" x14ac:dyDescent="0.25">
      <c r="A517" s="4" t="s">
        <v>332</v>
      </c>
      <c r="B517" s="4" t="s">
        <v>366</v>
      </c>
      <c r="C517" s="5" t="s">
        <v>96</v>
      </c>
      <c r="D517" s="151"/>
      <c r="E517" s="153"/>
      <c r="F517" s="151"/>
      <c r="G517" s="153"/>
      <c r="H517" s="151"/>
      <c r="I517" s="153"/>
      <c r="J517" s="151"/>
      <c r="K517" s="153"/>
      <c r="L517" s="151"/>
      <c r="M517" s="153"/>
      <c r="N517" s="151"/>
      <c r="O517" s="153"/>
      <c r="P517" s="151"/>
      <c r="Q517" s="153"/>
      <c r="R517" s="151"/>
      <c r="S517" s="153"/>
      <c r="T517" s="151">
        <v>4673</v>
      </c>
      <c r="U517" s="153">
        <v>4673</v>
      </c>
      <c r="V517" s="151"/>
      <c r="W517" s="153"/>
      <c r="X517" s="151"/>
      <c r="Y517" s="153"/>
      <c r="Z517" s="61">
        <f t="shared" si="91"/>
        <v>4673</v>
      </c>
      <c r="AA517" s="75">
        <f t="shared" si="92"/>
        <v>4673</v>
      </c>
      <c r="AB517" s="151"/>
      <c r="AC517" s="153"/>
      <c r="AD517" s="151"/>
      <c r="AE517" s="153"/>
      <c r="AF517" s="151"/>
      <c r="AG517" s="153"/>
      <c r="AH517" s="151"/>
      <c r="AI517" s="153"/>
      <c r="AJ517" s="151"/>
      <c r="AK517" s="153"/>
      <c r="AL517" s="151"/>
      <c r="AM517" s="153"/>
      <c r="AN517" s="151"/>
      <c r="AO517" s="153"/>
      <c r="AP517" s="61">
        <f t="shared" si="93"/>
        <v>4673</v>
      </c>
      <c r="AQ517" s="75">
        <f t="shared" si="94"/>
        <v>4673</v>
      </c>
      <c r="AR517" s="150" t="s">
        <v>367</v>
      </c>
    </row>
    <row r="518" spans="1:44" ht="26.25" x14ac:dyDescent="0.25">
      <c r="A518" s="4" t="s">
        <v>332</v>
      </c>
      <c r="B518" s="4" t="s">
        <v>368</v>
      </c>
      <c r="C518" s="5" t="s">
        <v>79</v>
      </c>
      <c r="D518" s="151"/>
      <c r="E518" s="153"/>
      <c r="F518" s="151"/>
      <c r="G518" s="153"/>
      <c r="H518" s="151"/>
      <c r="I518" s="153"/>
      <c r="J518" s="151"/>
      <c r="K518" s="153"/>
      <c r="L518" s="151"/>
      <c r="M518" s="153"/>
      <c r="N518" s="151"/>
      <c r="O518" s="153"/>
      <c r="P518" s="151"/>
      <c r="Q518" s="153"/>
      <c r="R518" s="151"/>
      <c r="S518" s="153"/>
      <c r="T518" s="151">
        <v>750</v>
      </c>
      <c r="U518" s="153">
        <v>750</v>
      </c>
      <c r="V518" s="151"/>
      <c r="W518" s="153"/>
      <c r="X518" s="151"/>
      <c r="Y518" s="153"/>
      <c r="Z518" s="61">
        <f t="shared" si="91"/>
        <v>750</v>
      </c>
      <c r="AA518" s="75">
        <f t="shared" si="92"/>
        <v>750</v>
      </c>
      <c r="AB518" s="151"/>
      <c r="AC518" s="153"/>
      <c r="AD518" s="151"/>
      <c r="AE518" s="153"/>
      <c r="AF518" s="151"/>
      <c r="AG518" s="153"/>
      <c r="AH518" s="151"/>
      <c r="AI518" s="153"/>
      <c r="AJ518" s="151"/>
      <c r="AK518" s="153"/>
      <c r="AL518" s="151"/>
      <c r="AM518" s="153"/>
      <c r="AN518" s="151"/>
      <c r="AO518" s="153"/>
      <c r="AP518" s="61">
        <f t="shared" si="93"/>
        <v>750</v>
      </c>
      <c r="AQ518" s="75">
        <f t="shared" si="94"/>
        <v>750</v>
      </c>
      <c r="AR518" s="150" t="s">
        <v>369</v>
      </c>
    </row>
    <row r="519" spans="1:44" ht="51.75" x14ac:dyDescent="0.25">
      <c r="A519" s="4" t="s">
        <v>332</v>
      </c>
      <c r="B519" s="4" t="s">
        <v>370</v>
      </c>
      <c r="C519" s="5" t="s">
        <v>79</v>
      </c>
      <c r="D519" s="151"/>
      <c r="E519" s="153"/>
      <c r="F519" s="151"/>
      <c r="G519" s="153"/>
      <c r="H519" s="151"/>
      <c r="I519" s="153"/>
      <c r="J519" s="151"/>
      <c r="K519" s="153"/>
      <c r="L519" s="151"/>
      <c r="M519" s="153"/>
      <c r="N519" s="151"/>
      <c r="O519" s="153"/>
      <c r="P519" s="151"/>
      <c r="Q519" s="153"/>
      <c r="R519" s="151"/>
      <c r="S519" s="153"/>
      <c r="T519" s="151">
        <v>341</v>
      </c>
      <c r="U519" s="153">
        <v>750</v>
      </c>
      <c r="V519" s="151"/>
      <c r="W519" s="153"/>
      <c r="X519" s="151"/>
      <c r="Y519" s="153"/>
      <c r="Z519" s="61">
        <f t="shared" si="91"/>
        <v>341</v>
      </c>
      <c r="AA519" s="75">
        <f t="shared" si="92"/>
        <v>750</v>
      </c>
      <c r="AB519" s="151"/>
      <c r="AC519" s="153"/>
      <c r="AD519" s="151"/>
      <c r="AE519" s="153"/>
      <c r="AF519" s="151"/>
      <c r="AG519" s="153"/>
      <c r="AH519" s="151"/>
      <c r="AI519" s="153"/>
      <c r="AJ519" s="151"/>
      <c r="AK519" s="153"/>
      <c r="AL519" s="151"/>
      <c r="AM519" s="153"/>
      <c r="AN519" s="151"/>
      <c r="AO519" s="153"/>
      <c r="AP519" s="61">
        <f t="shared" si="93"/>
        <v>341</v>
      </c>
      <c r="AQ519" s="75">
        <f t="shared" si="94"/>
        <v>750</v>
      </c>
      <c r="AR519" s="150" t="s">
        <v>371</v>
      </c>
    </row>
    <row r="520" spans="1:44" ht="39" x14ac:dyDescent="0.25">
      <c r="A520" s="4" t="s">
        <v>332</v>
      </c>
      <c r="B520" s="4" t="s">
        <v>372</v>
      </c>
      <c r="C520" s="5" t="s">
        <v>79</v>
      </c>
      <c r="D520" s="151"/>
      <c r="E520" s="153"/>
      <c r="F520" s="151"/>
      <c r="G520" s="153"/>
      <c r="H520" s="151"/>
      <c r="I520" s="153"/>
      <c r="J520" s="151"/>
      <c r="K520" s="153"/>
      <c r="L520" s="151"/>
      <c r="M520" s="153"/>
      <c r="N520" s="151"/>
      <c r="O520" s="153"/>
      <c r="P520" s="151"/>
      <c r="Q520" s="153"/>
      <c r="R520" s="151"/>
      <c r="S520" s="153"/>
      <c r="T520" s="151">
        <v>341</v>
      </c>
      <c r="U520" s="153">
        <v>750</v>
      </c>
      <c r="V520" s="151"/>
      <c r="W520" s="153"/>
      <c r="X520" s="151"/>
      <c r="Y520" s="153"/>
      <c r="Z520" s="61">
        <f t="shared" si="91"/>
        <v>341</v>
      </c>
      <c r="AA520" s="75">
        <f t="shared" si="92"/>
        <v>750</v>
      </c>
      <c r="AB520" s="151"/>
      <c r="AC520" s="153"/>
      <c r="AD520" s="151"/>
      <c r="AE520" s="153"/>
      <c r="AF520" s="151"/>
      <c r="AG520" s="153"/>
      <c r="AH520" s="151"/>
      <c r="AI520" s="153"/>
      <c r="AJ520" s="151"/>
      <c r="AK520" s="153"/>
      <c r="AL520" s="151"/>
      <c r="AM520" s="153"/>
      <c r="AN520" s="151"/>
      <c r="AO520" s="153"/>
      <c r="AP520" s="61">
        <f t="shared" si="93"/>
        <v>341</v>
      </c>
      <c r="AQ520" s="75">
        <f t="shared" si="94"/>
        <v>750</v>
      </c>
      <c r="AR520" s="150" t="s">
        <v>373</v>
      </c>
    </row>
    <row r="521" spans="1:44" ht="26.25" x14ac:dyDescent="0.25">
      <c r="A521" s="4" t="s">
        <v>332</v>
      </c>
      <c r="B521" s="4" t="s">
        <v>374</v>
      </c>
      <c r="C521" s="5" t="s">
        <v>79</v>
      </c>
      <c r="D521" s="151"/>
      <c r="E521" s="153"/>
      <c r="F521" s="151"/>
      <c r="G521" s="153"/>
      <c r="H521" s="151"/>
      <c r="I521" s="153"/>
      <c r="J521" s="151"/>
      <c r="K521" s="153"/>
      <c r="L521" s="151"/>
      <c r="M521" s="153"/>
      <c r="N521" s="151"/>
      <c r="O521" s="153"/>
      <c r="P521" s="151"/>
      <c r="Q521" s="153"/>
      <c r="R521" s="151"/>
      <c r="S521" s="153"/>
      <c r="T521" s="151"/>
      <c r="U521" s="153"/>
      <c r="V521" s="151"/>
      <c r="W521" s="153"/>
      <c r="X521" s="151"/>
      <c r="Y521" s="153"/>
      <c r="Z521" s="61">
        <f t="shared" si="91"/>
        <v>0</v>
      </c>
      <c r="AA521" s="75">
        <f t="shared" si="92"/>
        <v>0</v>
      </c>
      <c r="AB521" s="151"/>
      <c r="AC521" s="153"/>
      <c r="AD521" s="151">
        <v>27000</v>
      </c>
      <c r="AE521" s="153">
        <v>27000</v>
      </c>
      <c r="AF521" s="151"/>
      <c r="AG521" s="153"/>
      <c r="AH521" s="151"/>
      <c r="AI521" s="153"/>
      <c r="AJ521" s="151"/>
      <c r="AK521" s="153"/>
      <c r="AL521" s="151"/>
      <c r="AM521" s="153"/>
      <c r="AN521" s="151"/>
      <c r="AO521" s="153"/>
      <c r="AP521" s="61">
        <f t="shared" si="93"/>
        <v>27000</v>
      </c>
      <c r="AQ521" s="75">
        <f t="shared" si="94"/>
        <v>27000</v>
      </c>
      <c r="AR521" s="150" t="s">
        <v>375</v>
      </c>
    </row>
    <row r="522" spans="1:44" x14ac:dyDescent="0.25">
      <c r="A522" s="4" t="s">
        <v>332</v>
      </c>
      <c r="B522" s="4" t="s">
        <v>376</v>
      </c>
      <c r="C522" s="5" t="s">
        <v>79</v>
      </c>
      <c r="D522" s="151"/>
      <c r="E522" s="153"/>
      <c r="F522" s="151"/>
      <c r="G522" s="153"/>
      <c r="H522" s="151"/>
      <c r="I522" s="153"/>
      <c r="J522" s="151"/>
      <c r="K522" s="153"/>
      <c r="L522" s="151"/>
      <c r="M522" s="153"/>
      <c r="N522" s="151"/>
      <c r="O522" s="153"/>
      <c r="P522" s="151"/>
      <c r="Q522" s="153"/>
      <c r="R522" s="151"/>
      <c r="S522" s="153"/>
      <c r="T522" s="151"/>
      <c r="U522" s="153"/>
      <c r="V522" s="151"/>
      <c r="W522" s="153"/>
      <c r="X522" s="151"/>
      <c r="Y522" s="153"/>
      <c r="Z522" s="61">
        <f t="shared" si="91"/>
        <v>0</v>
      </c>
      <c r="AA522" s="75">
        <f t="shared" si="92"/>
        <v>0</v>
      </c>
      <c r="AB522" s="151"/>
      <c r="AC522" s="153"/>
      <c r="AD522" s="151">
        <v>11000</v>
      </c>
      <c r="AE522" s="153">
        <v>10000</v>
      </c>
      <c r="AF522" s="151"/>
      <c r="AG522" s="153"/>
      <c r="AH522" s="151"/>
      <c r="AI522" s="153"/>
      <c r="AJ522" s="151"/>
      <c r="AK522" s="153"/>
      <c r="AL522" s="151"/>
      <c r="AM522" s="153"/>
      <c r="AN522" s="151"/>
      <c r="AO522" s="153"/>
      <c r="AP522" s="61">
        <f t="shared" si="93"/>
        <v>11000</v>
      </c>
      <c r="AQ522" s="75">
        <f t="shared" si="94"/>
        <v>10000</v>
      </c>
      <c r="AR522" s="150" t="s">
        <v>371</v>
      </c>
    </row>
    <row r="523" spans="1:44" ht="26.25" x14ac:dyDescent="0.25">
      <c r="A523" s="4" t="s">
        <v>332</v>
      </c>
      <c r="B523" s="4" t="s">
        <v>377</v>
      </c>
      <c r="C523" s="5" t="s">
        <v>60</v>
      </c>
      <c r="D523" s="151"/>
      <c r="E523" s="153"/>
      <c r="F523" s="151"/>
      <c r="G523" s="153"/>
      <c r="H523" s="151"/>
      <c r="I523" s="153"/>
      <c r="J523" s="151"/>
      <c r="K523" s="153"/>
      <c r="L523" s="151"/>
      <c r="M523" s="153"/>
      <c r="N523" s="151"/>
      <c r="O523" s="153"/>
      <c r="P523" s="151"/>
      <c r="Q523" s="153"/>
      <c r="R523" s="151"/>
      <c r="S523" s="153"/>
      <c r="T523" s="151"/>
      <c r="U523" s="153"/>
      <c r="V523" s="151"/>
      <c r="W523" s="153"/>
      <c r="X523" s="151"/>
      <c r="Y523" s="153"/>
      <c r="Z523" s="61">
        <f t="shared" si="91"/>
        <v>0</v>
      </c>
      <c r="AA523" s="75">
        <f t="shared" si="92"/>
        <v>0</v>
      </c>
      <c r="AB523" s="151"/>
      <c r="AC523" s="153"/>
      <c r="AD523" s="151">
        <v>4300</v>
      </c>
      <c r="AE523" s="153">
        <v>4300</v>
      </c>
      <c r="AF523" s="151"/>
      <c r="AG523" s="153"/>
      <c r="AH523" s="151"/>
      <c r="AI523" s="153"/>
      <c r="AJ523" s="151"/>
      <c r="AK523" s="153"/>
      <c r="AL523" s="151"/>
      <c r="AM523" s="153"/>
      <c r="AN523" s="151"/>
      <c r="AO523" s="153"/>
      <c r="AP523" s="61">
        <f t="shared" si="93"/>
        <v>4300</v>
      </c>
      <c r="AQ523" s="75">
        <f t="shared" si="94"/>
        <v>4300</v>
      </c>
      <c r="AR523" s="150" t="s">
        <v>342</v>
      </c>
    </row>
    <row r="524" spans="1:44" x14ac:dyDescent="0.25">
      <c r="A524" s="4" t="s">
        <v>332</v>
      </c>
      <c r="B524" s="4" t="s">
        <v>378</v>
      </c>
      <c r="C524" s="6" t="s">
        <v>379</v>
      </c>
      <c r="D524" s="151"/>
      <c r="E524" s="153"/>
      <c r="F524" s="151"/>
      <c r="G524" s="153"/>
      <c r="H524" s="151"/>
      <c r="I524" s="153"/>
      <c r="J524" s="151"/>
      <c r="K524" s="153"/>
      <c r="L524" s="151"/>
      <c r="M524" s="153"/>
      <c r="N524" s="151"/>
      <c r="O524" s="153"/>
      <c r="P524" s="151"/>
      <c r="Q524" s="153"/>
      <c r="R524" s="151"/>
      <c r="S524" s="153"/>
      <c r="T524" s="151"/>
      <c r="U524" s="153"/>
      <c r="V524" s="151"/>
      <c r="W524" s="153"/>
      <c r="X524" s="151"/>
      <c r="Y524" s="153"/>
      <c r="Z524" s="61">
        <f t="shared" si="91"/>
        <v>0</v>
      </c>
      <c r="AA524" s="75">
        <f t="shared" si="92"/>
        <v>0</v>
      </c>
      <c r="AB524" s="151"/>
      <c r="AC524" s="153"/>
      <c r="AD524" s="151"/>
      <c r="AE524" s="153"/>
      <c r="AF524" s="151"/>
      <c r="AG524" s="153"/>
      <c r="AH524" s="151"/>
      <c r="AI524" s="153"/>
      <c r="AJ524" s="151"/>
      <c r="AK524" s="153"/>
      <c r="AL524" s="151">
        <v>26000</v>
      </c>
      <c r="AM524" s="153">
        <v>26000</v>
      </c>
      <c r="AN524" s="151"/>
      <c r="AO524" s="153"/>
      <c r="AP524" s="61">
        <f t="shared" si="93"/>
        <v>26000</v>
      </c>
      <c r="AQ524" s="75">
        <f t="shared" si="94"/>
        <v>26000</v>
      </c>
      <c r="AR524" s="150" t="s">
        <v>342</v>
      </c>
    </row>
    <row r="525" spans="1:44" ht="26.25" x14ac:dyDescent="0.25">
      <c r="A525" s="4" t="s">
        <v>332</v>
      </c>
      <c r="B525" s="4" t="s">
        <v>380</v>
      </c>
      <c r="C525" s="5" t="s">
        <v>79</v>
      </c>
      <c r="D525" s="151"/>
      <c r="E525" s="153"/>
      <c r="F525" s="151"/>
      <c r="G525" s="153"/>
      <c r="H525" s="151"/>
      <c r="I525" s="153"/>
      <c r="J525" s="151"/>
      <c r="K525" s="153"/>
      <c r="L525" s="151"/>
      <c r="M525" s="153"/>
      <c r="N525" s="151"/>
      <c r="O525" s="153"/>
      <c r="P525" s="151"/>
      <c r="Q525" s="153"/>
      <c r="R525" s="151"/>
      <c r="S525" s="153"/>
      <c r="T525" s="151"/>
      <c r="U525" s="153"/>
      <c r="V525" s="151"/>
      <c r="W525" s="153"/>
      <c r="X525" s="151"/>
      <c r="Y525" s="153"/>
      <c r="Z525" s="61">
        <f t="shared" si="91"/>
        <v>0</v>
      </c>
      <c r="AA525" s="75">
        <f t="shared" si="92"/>
        <v>0</v>
      </c>
      <c r="AB525" s="151"/>
      <c r="AC525" s="153"/>
      <c r="AD525" s="151"/>
      <c r="AE525" s="153"/>
      <c r="AF525" s="151"/>
      <c r="AG525" s="153"/>
      <c r="AH525" s="151"/>
      <c r="AI525" s="153"/>
      <c r="AJ525" s="151"/>
      <c r="AK525" s="153"/>
      <c r="AL525" s="151"/>
      <c r="AM525" s="153"/>
      <c r="AN525" s="151">
        <v>400000</v>
      </c>
      <c r="AO525" s="153">
        <v>550000</v>
      </c>
      <c r="AP525" s="61">
        <f t="shared" si="93"/>
        <v>400000</v>
      </c>
      <c r="AQ525" s="75">
        <f t="shared" si="94"/>
        <v>550000</v>
      </c>
      <c r="AR525" s="150" t="s">
        <v>342</v>
      </c>
    </row>
    <row r="526" spans="1:44" ht="39" x14ac:dyDescent="0.25">
      <c r="A526" s="4" t="s">
        <v>332</v>
      </c>
      <c r="B526" s="4" t="s">
        <v>381</v>
      </c>
      <c r="C526" s="5" t="s">
        <v>104</v>
      </c>
      <c r="D526" s="151"/>
      <c r="E526" s="153"/>
      <c r="F526" s="151"/>
      <c r="G526" s="153"/>
      <c r="H526" s="151"/>
      <c r="I526" s="153"/>
      <c r="J526" s="151"/>
      <c r="K526" s="153"/>
      <c r="L526" s="151"/>
      <c r="M526" s="153"/>
      <c r="N526" s="151"/>
      <c r="O526" s="153"/>
      <c r="P526" s="151"/>
      <c r="Q526" s="153"/>
      <c r="R526" s="151"/>
      <c r="S526" s="153"/>
      <c r="T526" s="151"/>
      <c r="U526" s="153"/>
      <c r="V526" s="151"/>
      <c r="W526" s="153"/>
      <c r="X526" s="151"/>
      <c r="Y526" s="153"/>
      <c r="Z526" s="61">
        <f t="shared" si="91"/>
        <v>0</v>
      </c>
      <c r="AA526" s="75">
        <f t="shared" si="92"/>
        <v>0</v>
      </c>
      <c r="AB526" s="151"/>
      <c r="AC526" s="153"/>
      <c r="AD526" s="151"/>
      <c r="AE526" s="153"/>
      <c r="AF526" s="151"/>
      <c r="AG526" s="153"/>
      <c r="AH526" s="151"/>
      <c r="AI526" s="153"/>
      <c r="AJ526" s="151"/>
      <c r="AK526" s="153"/>
      <c r="AL526" s="151"/>
      <c r="AM526" s="153"/>
      <c r="AN526" s="151">
        <v>45000</v>
      </c>
      <c r="AO526" s="153">
        <v>45000</v>
      </c>
      <c r="AP526" s="61">
        <f t="shared" si="93"/>
        <v>45000</v>
      </c>
      <c r="AQ526" s="75">
        <f t="shared" si="94"/>
        <v>45000</v>
      </c>
      <c r="AR526" s="150" t="s">
        <v>102</v>
      </c>
    </row>
    <row r="527" spans="1:44" ht="30" x14ac:dyDescent="0.25">
      <c r="A527" s="4" t="s">
        <v>332</v>
      </c>
      <c r="B527" s="4" t="s">
        <v>129</v>
      </c>
      <c r="C527" s="5" t="s">
        <v>104</v>
      </c>
      <c r="D527" s="151">
        <v>334343</v>
      </c>
      <c r="E527" s="153">
        <v>333886</v>
      </c>
      <c r="F527" s="151">
        <v>1500</v>
      </c>
      <c r="G527" s="153">
        <v>1500</v>
      </c>
      <c r="H527" s="151">
        <v>11500</v>
      </c>
      <c r="I527" s="153">
        <v>11500</v>
      </c>
      <c r="J527" s="151">
        <v>700</v>
      </c>
      <c r="K527" s="153">
        <v>700</v>
      </c>
      <c r="L527" s="151">
        <v>3800</v>
      </c>
      <c r="M527" s="153">
        <v>3800</v>
      </c>
      <c r="N527" s="151">
        <v>2710</v>
      </c>
      <c r="O527" s="153">
        <v>2500</v>
      </c>
      <c r="P527" s="151"/>
      <c r="Q527" s="153"/>
      <c r="R527" s="151"/>
      <c r="S527" s="153"/>
      <c r="T527" s="151"/>
      <c r="U527" s="153"/>
      <c r="V527" s="151"/>
      <c r="W527" s="153"/>
      <c r="X527" s="151"/>
      <c r="Y527" s="153"/>
      <c r="Z527" s="61">
        <f t="shared" si="91"/>
        <v>354553</v>
      </c>
      <c r="AA527" s="75">
        <f t="shared" si="92"/>
        <v>353886</v>
      </c>
      <c r="AB527" s="151">
        <v>300</v>
      </c>
      <c r="AC527" s="153">
        <v>200</v>
      </c>
      <c r="AD527" s="151">
        <v>31610</v>
      </c>
      <c r="AE527" s="153">
        <v>30000</v>
      </c>
      <c r="AF527" s="151">
        <v>5000</v>
      </c>
      <c r="AG527" s="153">
        <v>4500</v>
      </c>
      <c r="AH527" s="151"/>
      <c r="AI527" s="153"/>
      <c r="AJ527" s="151"/>
      <c r="AK527" s="153"/>
      <c r="AL527" s="151"/>
      <c r="AM527" s="153"/>
      <c r="AN527" s="151"/>
      <c r="AO527" s="153"/>
      <c r="AP527" s="61">
        <f t="shared" si="93"/>
        <v>391463</v>
      </c>
      <c r="AQ527" s="75">
        <f t="shared" si="94"/>
        <v>388586</v>
      </c>
      <c r="AR527" s="150" t="s">
        <v>102</v>
      </c>
    </row>
    <row r="528" spans="1:44" ht="30" x14ac:dyDescent="0.25">
      <c r="A528" s="4" t="s">
        <v>332</v>
      </c>
      <c r="B528" s="4" t="s">
        <v>382</v>
      </c>
      <c r="C528" s="5" t="s">
        <v>104</v>
      </c>
      <c r="D528" s="151"/>
      <c r="E528" s="153"/>
      <c r="F528" s="151"/>
      <c r="G528" s="153"/>
      <c r="H528" s="151"/>
      <c r="I528" s="153"/>
      <c r="J528" s="151"/>
      <c r="K528" s="153"/>
      <c r="L528" s="151"/>
      <c r="M528" s="153"/>
      <c r="N528" s="151"/>
      <c r="O528" s="153"/>
      <c r="P528" s="151"/>
      <c r="Q528" s="153"/>
      <c r="R528" s="151"/>
      <c r="S528" s="153"/>
      <c r="T528" s="151"/>
      <c r="U528" s="153"/>
      <c r="V528" s="151"/>
      <c r="W528" s="153"/>
      <c r="X528" s="151"/>
      <c r="Y528" s="153"/>
      <c r="Z528" s="61">
        <f t="shared" si="91"/>
        <v>0</v>
      </c>
      <c r="AA528" s="75">
        <f t="shared" si="92"/>
        <v>0</v>
      </c>
      <c r="AB528" s="151"/>
      <c r="AC528" s="153"/>
      <c r="AD528" s="151">
        <v>156000</v>
      </c>
      <c r="AE528" s="153">
        <v>156000</v>
      </c>
      <c r="AF528" s="151"/>
      <c r="AG528" s="153"/>
      <c r="AH528" s="151"/>
      <c r="AI528" s="153"/>
      <c r="AJ528" s="151"/>
      <c r="AK528" s="153"/>
      <c r="AL528" s="151"/>
      <c r="AM528" s="153"/>
      <c r="AN528" s="151"/>
      <c r="AO528" s="153"/>
      <c r="AP528" s="61">
        <f t="shared" si="93"/>
        <v>156000</v>
      </c>
      <c r="AQ528" s="75">
        <f t="shared" si="94"/>
        <v>156000</v>
      </c>
      <c r="AR528" s="150" t="s">
        <v>102</v>
      </c>
    </row>
    <row r="529" spans="1:44" ht="30" x14ac:dyDescent="0.25">
      <c r="A529" s="4" t="s">
        <v>332</v>
      </c>
      <c r="B529" s="4" t="s">
        <v>383</v>
      </c>
      <c r="C529" s="5" t="s">
        <v>101</v>
      </c>
      <c r="D529" s="151"/>
      <c r="E529" s="153"/>
      <c r="F529" s="151"/>
      <c r="G529" s="153"/>
      <c r="H529" s="151">
        <v>5400</v>
      </c>
      <c r="I529" s="153">
        <v>5400</v>
      </c>
      <c r="J529" s="151">
        <v>1600</v>
      </c>
      <c r="K529" s="153">
        <v>2700</v>
      </c>
      <c r="L529" s="151">
        <v>3200</v>
      </c>
      <c r="M529" s="153">
        <v>2800</v>
      </c>
      <c r="N529" s="151"/>
      <c r="O529" s="153"/>
      <c r="P529" s="151"/>
      <c r="Q529" s="153"/>
      <c r="R529" s="151"/>
      <c r="S529" s="153"/>
      <c r="T529" s="151"/>
      <c r="U529" s="153"/>
      <c r="V529" s="151"/>
      <c r="W529" s="153"/>
      <c r="X529" s="151"/>
      <c r="Y529" s="153"/>
      <c r="Z529" s="61">
        <f t="shared" si="91"/>
        <v>10200</v>
      </c>
      <c r="AA529" s="75">
        <f t="shared" si="92"/>
        <v>10900</v>
      </c>
      <c r="AB529" s="151"/>
      <c r="AC529" s="153"/>
      <c r="AD529" s="151">
        <v>4200</v>
      </c>
      <c r="AE529" s="153">
        <v>3000</v>
      </c>
      <c r="AF529" s="151">
        <v>2000</v>
      </c>
      <c r="AG529" s="153">
        <v>1500</v>
      </c>
      <c r="AH529" s="151"/>
      <c r="AI529" s="153"/>
      <c r="AJ529" s="151"/>
      <c r="AK529" s="153"/>
      <c r="AL529" s="151"/>
      <c r="AM529" s="153"/>
      <c r="AN529" s="151"/>
      <c r="AO529" s="153"/>
      <c r="AP529" s="61">
        <f t="shared" si="93"/>
        <v>16400</v>
      </c>
      <c r="AQ529" s="75">
        <f t="shared" si="94"/>
        <v>15400</v>
      </c>
      <c r="AR529" s="150" t="s">
        <v>102</v>
      </c>
    </row>
    <row r="530" spans="1:44" ht="30" x14ac:dyDescent="0.25">
      <c r="A530" s="4" t="s">
        <v>332</v>
      </c>
      <c r="B530" s="4" t="s">
        <v>384</v>
      </c>
      <c r="C530" s="5" t="s">
        <v>104</v>
      </c>
      <c r="D530" s="151"/>
      <c r="E530" s="153"/>
      <c r="F530" s="151"/>
      <c r="G530" s="153"/>
      <c r="H530" s="151"/>
      <c r="I530" s="153"/>
      <c r="J530" s="151"/>
      <c r="K530" s="153"/>
      <c r="L530" s="151"/>
      <c r="M530" s="153"/>
      <c r="N530" s="151"/>
      <c r="O530" s="153"/>
      <c r="P530" s="151"/>
      <c r="Q530" s="153"/>
      <c r="R530" s="151"/>
      <c r="S530" s="153"/>
      <c r="T530" s="151"/>
      <c r="U530" s="153"/>
      <c r="V530" s="151"/>
      <c r="W530" s="153"/>
      <c r="X530" s="151"/>
      <c r="Y530" s="153"/>
      <c r="Z530" s="61">
        <f t="shared" si="91"/>
        <v>0</v>
      </c>
      <c r="AA530" s="75">
        <f t="shared" si="92"/>
        <v>0</v>
      </c>
      <c r="AB530" s="151"/>
      <c r="AC530" s="153"/>
      <c r="AD530" s="151"/>
      <c r="AE530" s="153"/>
      <c r="AF530" s="151"/>
      <c r="AG530" s="153"/>
      <c r="AH530" s="151"/>
      <c r="AI530" s="153"/>
      <c r="AJ530" s="151"/>
      <c r="AK530" s="153"/>
      <c r="AL530" s="151">
        <v>216000</v>
      </c>
      <c r="AM530" s="153">
        <v>234000</v>
      </c>
      <c r="AN530" s="151"/>
      <c r="AO530" s="153"/>
      <c r="AP530" s="61">
        <f t="shared" si="93"/>
        <v>216000</v>
      </c>
      <c r="AQ530" s="75">
        <f t="shared" si="94"/>
        <v>234000</v>
      </c>
      <c r="AR530" s="150" t="s">
        <v>102</v>
      </c>
    </row>
    <row r="531" spans="1:44" ht="30" x14ac:dyDescent="0.25">
      <c r="A531" s="4" t="s">
        <v>332</v>
      </c>
      <c r="B531" s="4" t="s">
        <v>385</v>
      </c>
      <c r="C531" s="5" t="s">
        <v>104</v>
      </c>
      <c r="D531" s="151"/>
      <c r="E531" s="153"/>
      <c r="F531" s="151"/>
      <c r="G531" s="153"/>
      <c r="H531" s="151"/>
      <c r="I531" s="153"/>
      <c r="J531" s="151"/>
      <c r="K531" s="153"/>
      <c r="L531" s="151"/>
      <c r="M531" s="153"/>
      <c r="N531" s="151"/>
      <c r="O531" s="153"/>
      <c r="P531" s="151"/>
      <c r="Q531" s="153"/>
      <c r="R531" s="151"/>
      <c r="S531" s="153"/>
      <c r="T531" s="151"/>
      <c r="U531" s="153"/>
      <c r="V531" s="151"/>
      <c r="W531" s="153"/>
      <c r="X531" s="151"/>
      <c r="Y531" s="153"/>
      <c r="Z531" s="61">
        <f t="shared" si="91"/>
        <v>0</v>
      </c>
      <c r="AA531" s="75">
        <f t="shared" si="92"/>
        <v>0</v>
      </c>
      <c r="AB531" s="151"/>
      <c r="AC531" s="153"/>
      <c r="AD531" s="151"/>
      <c r="AE531" s="153"/>
      <c r="AF531" s="151"/>
      <c r="AG531" s="153"/>
      <c r="AH531" s="151"/>
      <c r="AI531" s="153"/>
      <c r="AJ531" s="151"/>
      <c r="AK531" s="153"/>
      <c r="AL531" s="151">
        <v>50000</v>
      </c>
      <c r="AM531" s="153">
        <v>50000</v>
      </c>
      <c r="AN531" s="151"/>
      <c r="AO531" s="153"/>
      <c r="AP531" s="61">
        <f t="shared" si="93"/>
        <v>50000</v>
      </c>
      <c r="AQ531" s="75">
        <f t="shared" si="94"/>
        <v>50000</v>
      </c>
      <c r="AR531" s="150" t="s">
        <v>102</v>
      </c>
    </row>
    <row r="532" spans="1:44" ht="30" x14ac:dyDescent="0.25">
      <c r="A532" s="4" t="s">
        <v>332</v>
      </c>
      <c r="B532" s="4" t="s">
        <v>386</v>
      </c>
      <c r="C532" s="5" t="s">
        <v>104</v>
      </c>
      <c r="D532" s="151"/>
      <c r="E532" s="153"/>
      <c r="F532" s="151"/>
      <c r="G532" s="153"/>
      <c r="H532" s="151"/>
      <c r="I532" s="153"/>
      <c r="J532" s="151"/>
      <c r="K532" s="153"/>
      <c r="L532" s="151"/>
      <c r="M532" s="153"/>
      <c r="N532" s="151"/>
      <c r="O532" s="153"/>
      <c r="P532" s="151"/>
      <c r="Q532" s="153"/>
      <c r="R532" s="151"/>
      <c r="S532" s="153"/>
      <c r="T532" s="151"/>
      <c r="U532" s="153"/>
      <c r="V532" s="151"/>
      <c r="W532" s="153"/>
      <c r="X532" s="151"/>
      <c r="Y532" s="153"/>
      <c r="Z532" s="61">
        <f t="shared" si="91"/>
        <v>0</v>
      </c>
      <c r="AA532" s="75">
        <f t="shared" si="92"/>
        <v>0</v>
      </c>
      <c r="AB532" s="151"/>
      <c r="AC532" s="153"/>
      <c r="AD532" s="151"/>
      <c r="AE532" s="153"/>
      <c r="AF532" s="151"/>
      <c r="AG532" s="153"/>
      <c r="AH532" s="151"/>
      <c r="AI532" s="153"/>
      <c r="AJ532" s="151"/>
      <c r="AK532" s="153"/>
      <c r="AL532" s="151">
        <v>45600</v>
      </c>
      <c r="AM532" s="153">
        <v>102430</v>
      </c>
      <c r="AN532" s="151"/>
      <c r="AO532" s="153"/>
      <c r="AP532" s="61">
        <f t="shared" si="93"/>
        <v>45600</v>
      </c>
      <c r="AQ532" s="75">
        <f t="shared" si="94"/>
        <v>102430</v>
      </c>
      <c r="AR532" s="150" t="s">
        <v>102</v>
      </c>
    </row>
    <row r="533" spans="1:44" ht="30" x14ac:dyDescent="0.25">
      <c r="A533" s="4" t="s">
        <v>332</v>
      </c>
      <c r="B533" s="4" t="s">
        <v>387</v>
      </c>
      <c r="C533" s="5" t="s">
        <v>104</v>
      </c>
      <c r="D533" s="151"/>
      <c r="E533" s="153"/>
      <c r="F533" s="151"/>
      <c r="G533" s="153"/>
      <c r="H533" s="151"/>
      <c r="I533" s="153"/>
      <c r="J533" s="151"/>
      <c r="K533" s="153"/>
      <c r="L533" s="151"/>
      <c r="M533" s="153"/>
      <c r="N533" s="151"/>
      <c r="O533" s="153"/>
      <c r="P533" s="151"/>
      <c r="Q533" s="153"/>
      <c r="R533" s="151"/>
      <c r="S533" s="153"/>
      <c r="T533" s="151"/>
      <c r="U533" s="153"/>
      <c r="V533" s="151"/>
      <c r="W533" s="153"/>
      <c r="X533" s="151"/>
      <c r="Y533" s="153"/>
      <c r="Z533" s="61">
        <f t="shared" si="91"/>
        <v>0</v>
      </c>
      <c r="AA533" s="75">
        <f t="shared" si="92"/>
        <v>0</v>
      </c>
      <c r="AB533" s="151"/>
      <c r="AC533" s="153"/>
      <c r="AD533" s="151"/>
      <c r="AE533" s="153"/>
      <c r="AF533" s="151"/>
      <c r="AG533" s="153"/>
      <c r="AH533" s="151"/>
      <c r="AI533" s="153"/>
      <c r="AJ533" s="151"/>
      <c r="AK533" s="153"/>
      <c r="AL533" s="151">
        <v>50000</v>
      </c>
      <c r="AM533" s="153">
        <v>34627</v>
      </c>
      <c r="AN533" s="151"/>
      <c r="AO533" s="153"/>
      <c r="AP533" s="61">
        <f t="shared" si="93"/>
        <v>50000</v>
      </c>
      <c r="AQ533" s="75">
        <f t="shared" si="94"/>
        <v>34627</v>
      </c>
      <c r="AR533" s="150" t="s">
        <v>102</v>
      </c>
    </row>
    <row r="534" spans="1:44" ht="30" x14ac:dyDescent="0.25">
      <c r="A534" s="4" t="s">
        <v>332</v>
      </c>
      <c r="B534" s="4" t="s">
        <v>388</v>
      </c>
      <c r="C534" s="5" t="s">
        <v>104</v>
      </c>
      <c r="D534" s="151"/>
      <c r="E534" s="153"/>
      <c r="F534" s="151"/>
      <c r="G534" s="153"/>
      <c r="H534" s="151"/>
      <c r="I534" s="153"/>
      <c r="J534" s="151"/>
      <c r="K534" s="153"/>
      <c r="L534" s="151"/>
      <c r="M534" s="153"/>
      <c r="N534" s="151"/>
      <c r="O534" s="153"/>
      <c r="P534" s="151"/>
      <c r="Q534" s="153"/>
      <c r="R534" s="151"/>
      <c r="S534" s="153"/>
      <c r="T534" s="151"/>
      <c r="U534" s="153"/>
      <c r="V534" s="151"/>
      <c r="W534" s="153"/>
      <c r="X534" s="151"/>
      <c r="Y534" s="153"/>
      <c r="Z534" s="61">
        <f t="shared" si="91"/>
        <v>0</v>
      </c>
      <c r="AA534" s="75">
        <f t="shared" si="92"/>
        <v>0</v>
      </c>
      <c r="AB534" s="151"/>
      <c r="AC534" s="153"/>
      <c r="AD534" s="151">
        <v>5000</v>
      </c>
      <c r="AE534" s="153">
        <v>5000</v>
      </c>
      <c r="AF534" s="151"/>
      <c r="AG534" s="153"/>
      <c r="AH534" s="151"/>
      <c r="AI534" s="153"/>
      <c r="AJ534" s="151"/>
      <c r="AK534" s="153"/>
      <c r="AL534" s="151"/>
      <c r="AM534" s="153"/>
      <c r="AN534" s="151"/>
      <c r="AO534" s="153"/>
      <c r="AP534" s="61">
        <f t="shared" si="93"/>
        <v>5000</v>
      </c>
      <c r="AQ534" s="75">
        <f t="shared" si="94"/>
        <v>5000</v>
      </c>
      <c r="AR534" s="150" t="s">
        <v>102</v>
      </c>
    </row>
    <row r="535" spans="1:44" ht="30" x14ac:dyDescent="0.25">
      <c r="A535" s="4" t="s">
        <v>332</v>
      </c>
      <c r="B535" s="4" t="s">
        <v>100</v>
      </c>
      <c r="C535" s="5" t="s">
        <v>101</v>
      </c>
      <c r="D535" s="151"/>
      <c r="E535" s="153"/>
      <c r="F535" s="151"/>
      <c r="G535" s="153"/>
      <c r="H535" s="151"/>
      <c r="I535" s="153"/>
      <c r="J535" s="151"/>
      <c r="K535" s="153"/>
      <c r="L535" s="151"/>
      <c r="M535" s="153"/>
      <c r="N535" s="151"/>
      <c r="O535" s="153"/>
      <c r="P535" s="151"/>
      <c r="Q535" s="153"/>
      <c r="R535" s="151"/>
      <c r="S535" s="153"/>
      <c r="T535" s="151"/>
      <c r="U535" s="153"/>
      <c r="V535" s="151"/>
      <c r="W535" s="153"/>
      <c r="X535" s="151"/>
      <c r="Y535" s="153"/>
      <c r="Z535" s="61">
        <f t="shared" si="91"/>
        <v>0</v>
      </c>
      <c r="AA535" s="75">
        <f t="shared" si="92"/>
        <v>0</v>
      </c>
      <c r="AB535" s="151"/>
      <c r="AC535" s="153"/>
      <c r="AD535" s="151"/>
      <c r="AE535" s="153"/>
      <c r="AF535" s="151"/>
      <c r="AG535" s="153"/>
      <c r="AH535" s="151"/>
      <c r="AI535" s="153"/>
      <c r="AJ535" s="151"/>
      <c r="AK535" s="153"/>
      <c r="AL535" s="151">
        <v>472269</v>
      </c>
      <c r="AM535" s="153">
        <f>739946-AM415-AM364-AM383-AM332-AM303-AM284-AM257-AM222-AM189-AM163-AM124-AM93-AM67-AM33+50000</f>
        <v>624131</v>
      </c>
      <c r="AN535" s="151"/>
      <c r="AO535" s="153"/>
      <c r="AP535" s="61">
        <f t="shared" si="93"/>
        <v>472269</v>
      </c>
      <c r="AQ535" s="75">
        <f t="shared" si="94"/>
        <v>624131</v>
      </c>
      <c r="AR535" s="150" t="s">
        <v>102</v>
      </c>
    </row>
    <row r="536" spans="1:44" ht="26.25" x14ac:dyDescent="0.25">
      <c r="A536" s="4" t="s">
        <v>332</v>
      </c>
      <c r="B536" s="4" t="s">
        <v>389</v>
      </c>
      <c r="C536" s="5" t="s">
        <v>67</v>
      </c>
      <c r="D536" s="151">
        <v>48604</v>
      </c>
      <c r="E536" s="153">
        <v>56772</v>
      </c>
      <c r="F536" s="151"/>
      <c r="G536" s="153"/>
      <c r="H536" s="151"/>
      <c r="I536" s="153"/>
      <c r="J536" s="151"/>
      <c r="K536" s="153"/>
      <c r="L536" s="151"/>
      <c r="M536" s="153"/>
      <c r="N536" s="151"/>
      <c r="O536" s="153"/>
      <c r="P536" s="151"/>
      <c r="Q536" s="153"/>
      <c r="R536" s="151"/>
      <c r="S536" s="153"/>
      <c r="T536" s="151"/>
      <c r="U536" s="153"/>
      <c r="V536" s="151"/>
      <c r="W536" s="153"/>
      <c r="X536" s="151"/>
      <c r="Y536" s="153"/>
      <c r="Z536" s="61">
        <f t="shared" si="91"/>
        <v>48604</v>
      </c>
      <c r="AA536" s="75">
        <f t="shared" si="92"/>
        <v>56772</v>
      </c>
      <c r="AB536" s="151"/>
      <c r="AC536" s="153"/>
      <c r="AD536" s="151">
        <v>1100</v>
      </c>
      <c r="AE536" s="153">
        <v>1000</v>
      </c>
      <c r="AF536" s="151">
        <v>7000</v>
      </c>
      <c r="AG536" s="153">
        <v>6000</v>
      </c>
      <c r="AH536" s="151"/>
      <c r="AI536" s="153"/>
      <c r="AJ536" s="151"/>
      <c r="AK536" s="153"/>
      <c r="AL536" s="151"/>
      <c r="AM536" s="153"/>
      <c r="AN536" s="151"/>
      <c r="AO536" s="153"/>
      <c r="AP536" s="61">
        <f t="shared" si="93"/>
        <v>56704</v>
      </c>
      <c r="AQ536" s="75">
        <f t="shared" si="94"/>
        <v>63772</v>
      </c>
      <c r="AR536" s="150" t="s">
        <v>68</v>
      </c>
    </row>
    <row r="537" spans="1:44" x14ac:dyDescent="0.25">
      <c r="A537" s="4" t="s">
        <v>332</v>
      </c>
      <c r="B537" s="4" t="s">
        <v>390</v>
      </c>
      <c r="C537" s="5" t="s">
        <v>70</v>
      </c>
      <c r="D537" s="151">
        <v>80559</v>
      </c>
      <c r="E537" s="153">
        <v>80383</v>
      </c>
      <c r="F537" s="151">
        <v>1059</v>
      </c>
      <c r="G537" s="153">
        <v>1059</v>
      </c>
      <c r="H537" s="151">
        <v>7900</v>
      </c>
      <c r="I537" s="153">
        <v>8700</v>
      </c>
      <c r="J537" s="151">
        <v>8300</v>
      </c>
      <c r="K537" s="153">
        <v>8300</v>
      </c>
      <c r="L537" s="151">
        <v>23500</v>
      </c>
      <c r="M537" s="153">
        <v>23500</v>
      </c>
      <c r="N537" s="151">
        <v>1400</v>
      </c>
      <c r="O537" s="153">
        <v>1400</v>
      </c>
      <c r="P537" s="151"/>
      <c r="Q537" s="153"/>
      <c r="R537" s="151">
        <v>14000</v>
      </c>
      <c r="S537" s="153">
        <v>14000</v>
      </c>
      <c r="T537" s="151"/>
      <c r="U537" s="153"/>
      <c r="V537" s="151"/>
      <c r="W537" s="153"/>
      <c r="X537" s="151"/>
      <c r="Y537" s="153"/>
      <c r="Z537" s="61">
        <f t="shared" si="91"/>
        <v>136718</v>
      </c>
      <c r="AA537" s="75">
        <f t="shared" si="92"/>
        <v>137342</v>
      </c>
      <c r="AB537" s="151">
        <v>2500</v>
      </c>
      <c r="AC537" s="153">
        <v>1876</v>
      </c>
      <c r="AD537" s="151">
        <v>42030</v>
      </c>
      <c r="AE537" s="153">
        <v>42030</v>
      </c>
      <c r="AF537" s="151">
        <v>14300</v>
      </c>
      <c r="AG537" s="153">
        <v>14300</v>
      </c>
      <c r="AH537" s="151"/>
      <c r="AI537" s="153"/>
      <c r="AJ537" s="151"/>
      <c r="AK537" s="153"/>
      <c r="AL537" s="151"/>
      <c r="AM537" s="153"/>
      <c r="AN537" s="151"/>
      <c r="AO537" s="153"/>
      <c r="AP537" s="61">
        <f t="shared" si="93"/>
        <v>195548</v>
      </c>
      <c r="AQ537" s="75">
        <f t="shared" si="94"/>
        <v>195548</v>
      </c>
      <c r="AR537" s="150" t="s">
        <v>71</v>
      </c>
    </row>
    <row r="538" spans="1:44" x14ac:dyDescent="0.25">
      <c r="A538" s="4" t="s">
        <v>332</v>
      </c>
      <c r="B538" s="4" t="s">
        <v>391</v>
      </c>
      <c r="C538" s="5" t="s">
        <v>220</v>
      </c>
      <c r="D538" s="151"/>
      <c r="E538" s="153"/>
      <c r="F538" s="151"/>
      <c r="G538" s="153"/>
      <c r="H538" s="151"/>
      <c r="I538" s="153"/>
      <c r="J538" s="151"/>
      <c r="K538" s="153"/>
      <c r="L538" s="151"/>
      <c r="M538" s="153"/>
      <c r="N538" s="151"/>
      <c r="O538" s="153"/>
      <c r="P538" s="151"/>
      <c r="Q538" s="153"/>
      <c r="R538" s="151"/>
      <c r="S538" s="153"/>
      <c r="T538" s="151"/>
      <c r="U538" s="153"/>
      <c r="V538" s="151"/>
      <c r="W538" s="153"/>
      <c r="X538" s="151"/>
      <c r="Y538" s="153"/>
      <c r="Z538" s="61">
        <f t="shared" si="91"/>
        <v>0</v>
      </c>
      <c r="AA538" s="75">
        <f t="shared" si="92"/>
        <v>0</v>
      </c>
      <c r="AB538" s="151"/>
      <c r="AC538" s="153"/>
      <c r="AD538" s="151">
        <v>287639</v>
      </c>
      <c r="AE538" s="153">
        <v>100000</v>
      </c>
      <c r="AF538" s="151"/>
      <c r="AG538" s="153"/>
      <c r="AH538" s="151"/>
      <c r="AI538" s="153"/>
      <c r="AJ538" s="151"/>
      <c r="AK538" s="153"/>
      <c r="AL538" s="151"/>
      <c r="AM538" s="153"/>
      <c r="AN538" s="151"/>
      <c r="AO538" s="153"/>
      <c r="AP538" s="61">
        <f t="shared" si="93"/>
        <v>287639</v>
      </c>
      <c r="AQ538" s="75">
        <f t="shared" si="94"/>
        <v>100000</v>
      </c>
      <c r="AR538" s="150" t="s">
        <v>342</v>
      </c>
    </row>
    <row r="539" spans="1:44" ht="26.25" x14ac:dyDescent="0.25">
      <c r="A539" s="4" t="s">
        <v>332</v>
      </c>
      <c r="B539" s="161" t="s">
        <v>392</v>
      </c>
      <c r="C539" s="6" t="s">
        <v>60</v>
      </c>
      <c r="D539" s="151"/>
      <c r="E539" s="153"/>
      <c r="F539" s="151"/>
      <c r="G539" s="153"/>
      <c r="H539" s="151"/>
      <c r="I539" s="153"/>
      <c r="J539" s="151"/>
      <c r="K539" s="153"/>
      <c r="L539" s="151"/>
      <c r="M539" s="153"/>
      <c r="N539" s="151"/>
      <c r="O539" s="153"/>
      <c r="P539" s="151"/>
      <c r="Q539" s="153"/>
      <c r="R539" s="151"/>
      <c r="S539" s="153"/>
      <c r="T539" s="151"/>
      <c r="U539" s="153"/>
      <c r="V539" s="151"/>
      <c r="W539" s="153"/>
      <c r="X539" s="151"/>
      <c r="Y539" s="153"/>
      <c r="Z539" s="61">
        <f t="shared" si="91"/>
        <v>0</v>
      </c>
      <c r="AA539" s="75">
        <f t="shared" si="92"/>
        <v>0</v>
      </c>
      <c r="AB539" s="151"/>
      <c r="AC539" s="153"/>
      <c r="AD539" s="151"/>
      <c r="AE539" s="153"/>
      <c r="AF539" s="151"/>
      <c r="AG539" s="153"/>
      <c r="AH539" s="151"/>
      <c r="AI539" s="153"/>
      <c r="AJ539" s="151">
        <v>20317</v>
      </c>
      <c r="AK539" s="153">
        <v>0</v>
      </c>
      <c r="AL539" s="151"/>
      <c r="AM539" s="153"/>
      <c r="AN539" s="151"/>
      <c r="AO539" s="153"/>
      <c r="AP539" s="61">
        <f t="shared" si="93"/>
        <v>20317</v>
      </c>
      <c r="AQ539" s="75">
        <f t="shared" si="94"/>
        <v>0</v>
      </c>
      <c r="AR539" s="150" t="s">
        <v>342</v>
      </c>
    </row>
    <row r="540" spans="1:44" x14ac:dyDescent="0.25">
      <c r="A540" s="4" t="s">
        <v>332</v>
      </c>
      <c r="B540" s="4" t="s">
        <v>393</v>
      </c>
      <c r="C540" s="6" t="s">
        <v>60</v>
      </c>
      <c r="D540" s="151"/>
      <c r="E540" s="153"/>
      <c r="F540" s="151"/>
      <c r="G540" s="153"/>
      <c r="H540" s="151"/>
      <c r="I540" s="153"/>
      <c r="J540" s="151"/>
      <c r="K540" s="153"/>
      <c r="L540" s="151"/>
      <c r="M540" s="153"/>
      <c r="N540" s="151"/>
      <c r="O540" s="153"/>
      <c r="P540" s="151"/>
      <c r="Q540" s="153"/>
      <c r="R540" s="151"/>
      <c r="S540" s="153"/>
      <c r="T540" s="151"/>
      <c r="U540" s="153"/>
      <c r="V540" s="151"/>
      <c r="W540" s="153"/>
      <c r="X540" s="151"/>
      <c r="Y540" s="153"/>
      <c r="Z540" s="61">
        <f t="shared" si="91"/>
        <v>0</v>
      </c>
      <c r="AA540" s="75">
        <f t="shared" si="92"/>
        <v>0</v>
      </c>
      <c r="AB540" s="151"/>
      <c r="AC540" s="153"/>
      <c r="AD540" s="151">
        <v>17800</v>
      </c>
      <c r="AE540" s="153">
        <v>47000</v>
      </c>
      <c r="AF540" s="151"/>
      <c r="AG540" s="153"/>
      <c r="AH540" s="151"/>
      <c r="AI540" s="153"/>
      <c r="AJ540" s="151"/>
      <c r="AK540" s="153"/>
      <c r="AL540" s="151"/>
      <c r="AM540" s="153"/>
      <c r="AN540" s="151"/>
      <c r="AO540" s="153"/>
      <c r="AP540" s="61">
        <f t="shared" si="93"/>
        <v>17800</v>
      </c>
      <c r="AQ540" s="75">
        <f t="shared" si="94"/>
        <v>47000</v>
      </c>
      <c r="AR540" s="150" t="s">
        <v>342</v>
      </c>
    </row>
    <row r="541" spans="1:44" x14ac:dyDescent="0.25">
      <c r="A541" s="4" t="s">
        <v>332</v>
      </c>
      <c r="B541" s="4" t="s">
        <v>394</v>
      </c>
      <c r="C541" s="6" t="s">
        <v>60</v>
      </c>
      <c r="D541" s="151"/>
      <c r="E541" s="153"/>
      <c r="F541" s="151"/>
      <c r="G541" s="153"/>
      <c r="H541" s="151"/>
      <c r="I541" s="153"/>
      <c r="J541" s="151"/>
      <c r="K541" s="153"/>
      <c r="L541" s="151"/>
      <c r="M541" s="153"/>
      <c r="N541" s="151"/>
      <c r="O541" s="153"/>
      <c r="P541" s="151"/>
      <c r="Q541" s="153"/>
      <c r="R541" s="151"/>
      <c r="S541" s="153"/>
      <c r="T541" s="151"/>
      <c r="U541" s="153"/>
      <c r="V541" s="151"/>
      <c r="W541" s="153"/>
      <c r="X541" s="151"/>
      <c r="Y541" s="153"/>
      <c r="Z541" s="61">
        <f t="shared" si="91"/>
        <v>0</v>
      </c>
      <c r="AA541" s="75">
        <f t="shared" si="92"/>
        <v>0</v>
      </c>
      <c r="AB541" s="151"/>
      <c r="AC541" s="153"/>
      <c r="AD541" s="151">
        <v>51000</v>
      </c>
      <c r="AE541" s="153">
        <v>25000</v>
      </c>
      <c r="AF541" s="151"/>
      <c r="AG541" s="153"/>
      <c r="AH541" s="151"/>
      <c r="AI541" s="153"/>
      <c r="AJ541" s="151"/>
      <c r="AK541" s="153"/>
      <c r="AL541" s="151"/>
      <c r="AM541" s="153"/>
      <c r="AN541" s="151"/>
      <c r="AO541" s="153"/>
      <c r="AP541" s="61">
        <f t="shared" si="93"/>
        <v>51000</v>
      </c>
      <c r="AQ541" s="75">
        <f t="shared" si="94"/>
        <v>25000</v>
      </c>
      <c r="AR541" s="150" t="s">
        <v>342</v>
      </c>
    </row>
    <row r="542" spans="1:44" ht="26.25" x14ac:dyDescent="0.25">
      <c r="A542" s="4" t="s">
        <v>332</v>
      </c>
      <c r="B542" s="4" t="s">
        <v>395</v>
      </c>
      <c r="C542" s="6" t="s">
        <v>60</v>
      </c>
      <c r="D542" s="151"/>
      <c r="E542" s="153"/>
      <c r="F542" s="151"/>
      <c r="G542" s="153"/>
      <c r="H542" s="151"/>
      <c r="I542" s="153"/>
      <c r="J542" s="151"/>
      <c r="K542" s="153"/>
      <c r="L542" s="151"/>
      <c r="M542" s="153"/>
      <c r="N542" s="151"/>
      <c r="O542" s="153"/>
      <c r="P542" s="151"/>
      <c r="Q542" s="153"/>
      <c r="R542" s="151"/>
      <c r="S542" s="153"/>
      <c r="T542" s="151"/>
      <c r="U542" s="153"/>
      <c r="V542" s="151"/>
      <c r="W542" s="153"/>
      <c r="X542" s="151"/>
      <c r="Y542" s="153"/>
      <c r="Z542" s="61">
        <f t="shared" si="91"/>
        <v>0</v>
      </c>
      <c r="AA542" s="75">
        <f t="shared" si="92"/>
        <v>0</v>
      </c>
      <c r="AB542" s="151"/>
      <c r="AC542" s="153"/>
      <c r="AD542" s="151">
        <v>20249</v>
      </c>
      <c r="AE542" s="153">
        <v>19868</v>
      </c>
      <c r="AF542" s="151"/>
      <c r="AG542" s="153"/>
      <c r="AH542" s="151"/>
      <c r="AI542" s="153"/>
      <c r="AJ542" s="151"/>
      <c r="AK542" s="153"/>
      <c r="AL542" s="151"/>
      <c r="AM542" s="153"/>
      <c r="AN542" s="151"/>
      <c r="AO542" s="153"/>
      <c r="AP542" s="61">
        <f t="shared" si="93"/>
        <v>20249</v>
      </c>
      <c r="AQ542" s="75">
        <f t="shared" si="94"/>
        <v>19868</v>
      </c>
      <c r="AR542" s="150" t="s">
        <v>396</v>
      </c>
    </row>
    <row r="543" spans="1:44" ht="26.25" x14ac:dyDescent="0.25">
      <c r="A543" s="4" t="s">
        <v>332</v>
      </c>
      <c r="B543" s="4" t="s">
        <v>397</v>
      </c>
      <c r="C543" s="5" t="s">
        <v>198</v>
      </c>
      <c r="D543" s="151"/>
      <c r="E543" s="153"/>
      <c r="F543" s="151"/>
      <c r="G543" s="153"/>
      <c r="H543" s="151"/>
      <c r="I543" s="153"/>
      <c r="J543" s="151"/>
      <c r="K543" s="153"/>
      <c r="L543" s="151"/>
      <c r="M543" s="153"/>
      <c r="N543" s="151"/>
      <c r="O543" s="153"/>
      <c r="P543" s="151"/>
      <c r="Q543" s="153"/>
      <c r="R543" s="151"/>
      <c r="S543" s="153"/>
      <c r="T543" s="151"/>
      <c r="U543" s="153"/>
      <c r="V543" s="151"/>
      <c r="W543" s="153"/>
      <c r="X543" s="151"/>
      <c r="Y543" s="153"/>
      <c r="Z543" s="61">
        <f t="shared" si="91"/>
        <v>0</v>
      </c>
      <c r="AA543" s="75">
        <f t="shared" si="92"/>
        <v>0</v>
      </c>
      <c r="AB543" s="151"/>
      <c r="AC543" s="153"/>
      <c r="AD543" s="151"/>
      <c r="AE543" s="153"/>
      <c r="AF543" s="151"/>
      <c r="AG543" s="153"/>
      <c r="AH543" s="151"/>
      <c r="AI543" s="153"/>
      <c r="AJ543" s="151"/>
      <c r="AK543" s="153"/>
      <c r="AL543" s="151">
        <v>117000</v>
      </c>
      <c r="AM543" s="153">
        <v>117000</v>
      </c>
      <c r="AN543" s="151"/>
      <c r="AO543" s="153"/>
      <c r="AP543" s="61">
        <f t="shared" si="93"/>
        <v>117000</v>
      </c>
      <c r="AQ543" s="75">
        <f t="shared" si="94"/>
        <v>117000</v>
      </c>
      <c r="AR543" s="150"/>
    </row>
    <row r="544" spans="1:44" ht="26.25" x14ac:dyDescent="0.25">
      <c r="A544" s="4" t="s">
        <v>332</v>
      </c>
      <c r="B544" s="4" t="s">
        <v>398</v>
      </c>
      <c r="C544" s="5" t="s">
        <v>399</v>
      </c>
      <c r="D544" s="151"/>
      <c r="E544" s="153"/>
      <c r="F544" s="151"/>
      <c r="G544" s="153"/>
      <c r="H544" s="151"/>
      <c r="I544" s="153"/>
      <c r="J544" s="151"/>
      <c r="K544" s="153"/>
      <c r="L544" s="151"/>
      <c r="M544" s="153"/>
      <c r="N544" s="151"/>
      <c r="O544" s="153"/>
      <c r="P544" s="151"/>
      <c r="Q544" s="153"/>
      <c r="R544" s="151"/>
      <c r="S544" s="153"/>
      <c r="T544" s="151"/>
      <c r="U544" s="153"/>
      <c r="V544" s="151"/>
      <c r="W544" s="153"/>
      <c r="X544" s="151"/>
      <c r="Y544" s="153"/>
      <c r="Z544" s="61">
        <f t="shared" si="91"/>
        <v>0</v>
      </c>
      <c r="AA544" s="75">
        <f t="shared" si="92"/>
        <v>0</v>
      </c>
      <c r="AB544" s="151"/>
      <c r="AC544" s="153"/>
      <c r="AD544" s="151">
        <v>2300</v>
      </c>
      <c r="AE544" s="153">
        <v>1000</v>
      </c>
      <c r="AF544" s="151"/>
      <c r="AG544" s="153"/>
      <c r="AH544" s="151"/>
      <c r="AI544" s="153"/>
      <c r="AJ544" s="151"/>
      <c r="AK544" s="153"/>
      <c r="AL544" s="151"/>
      <c r="AM544" s="153"/>
      <c r="AN544" s="151"/>
      <c r="AO544" s="153"/>
      <c r="AP544" s="61">
        <f t="shared" si="93"/>
        <v>2300</v>
      </c>
      <c r="AQ544" s="75">
        <f t="shared" si="94"/>
        <v>1000</v>
      </c>
      <c r="AR544" s="150" t="s">
        <v>342</v>
      </c>
    </row>
    <row r="545" spans="1:44" x14ac:dyDescent="0.25">
      <c r="A545" s="4" t="s">
        <v>332</v>
      </c>
      <c r="B545" s="4" t="s">
        <v>400</v>
      </c>
      <c r="C545" s="5" t="s">
        <v>401</v>
      </c>
      <c r="D545" s="151"/>
      <c r="E545" s="153"/>
      <c r="F545" s="151"/>
      <c r="G545" s="153"/>
      <c r="H545" s="151"/>
      <c r="I545" s="153"/>
      <c r="J545" s="151"/>
      <c r="K545" s="153"/>
      <c r="L545" s="151"/>
      <c r="M545" s="153"/>
      <c r="N545" s="151"/>
      <c r="O545" s="153"/>
      <c r="P545" s="151"/>
      <c r="Q545" s="153"/>
      <c r="R545" s="151"/>
      <c r="S545" s="153"/>
      <c r="T545" s="151"/>
      <c r="U545" s="153"/>
      <c r="V545" s="151"/>
      <c r="W545" s="153"/>
      <c r="X545" s="151"/>
      <c r="Y545" s="153"/>
      <c r="Z545" s="61">
        <f t="shared" si="91"/>
        <v>0</v>
      </c>
      <c r="AA545" s="75">
        <f t="shared" si="92"/>
        <v>0</v>
      </c>
      <c r="AB545" s="151"/>
      <c r="AC545" s="153"/>
      <c r="AD545" s="151">
        <v>58221</v>
      </c>
      <c r="AE545" s="97">
        <v>58221</v>
      </c>
      <c r="AF545" s="151"/>
      <c r="AG545" s="153"/>
      <c r="AH545" s="151"/>
      <c r="AI545" s="153"/>
      <c r="AJ545" s="151"/>
      <c r="AK545" s="153"/>
      <c r="AL545" s="151"/>
      <c r="AM545" s="153"/>
      <c r="AN545" s="151"/>
      <c r="AO545" s="153"/>
      <c r="AP545" s="61">
        <f t="shared" si="93"/>
        <v>58221</v>
      </c>
      <c r="AQ545" s="75">
        <f t="shared" si="94"/>
        <v>58221</v>
      </c>
      <c r="AR545" s="150" t="s">
        <v>342</v>
      </c>
    </row>
    <row r="546" spans="1:44" ht="26.25" x14ac:dyDescent="0.25">
      <c r="A546" s="4" t="s">
        <v>332</v>
      </c>
      <c r="B546" s="4" t="s">
        <v>402</v>
      </c>
      <c r="C546" s="5" t="s">
        <v>403</v>
      </c>
      <c r="D546" s="151"/>
      <c r="E546" s="153"/>
      <c r="F546" s="151"/>
      <c r="G546" s="153"/>
      <c r="H546" s="151"/>
      <c r="I546" s="153"/>
      <c r="J546" s="151"/>
      <c r="K546" s="153"/>
      <c r="L546" s="151"/>
      <c r="M546" s="153"/>
      <c r="N546" s="151"/>
      <c r="O546" s="153"/>
      <c r="P546" s="151"/>
      <c r="Q546" s="153"/>
      <c r="R546" s="151"/>
      <c r="S546" s="153"/>
      <c r="T546" s="151"/>
      <c r="U546" s="153"/>
      <c r="V546" s="151"/>
      <c r="W546" s="153"/>
      <c r="X546" s="151"/>
      <c r="Y546" s="153"/>
      <c r="Z546" s="61">
        <f t="shared" si="91"/>
        <v>0</v>
      </c>
      <c r="AA546" s="75">
        <f t="shared" si="92"/>
        <v>0</v>
      </c>
      <c r="AB546" s="151"/>
      <c r="AC546" s="153"/>
      <c r="AD546" s="151">
        <v>1503868</v>
      </c>
      <c r="AE546" s="153">
        <v>1630553</v>
      </c>
      <c r="AF546" s="151"/>
      <c r="AG546" s="153"/>
      <c r="AH546" s="151"/>
      <c r="AI546" s="153"/>
      <c r="AJ546" s="151"/>
      <c r="AK546" s="153"/>
      <c r="AL546" s="151"/>
      <c r="AM546" s="153"/>
      <c r="AN546" s="151"/>
      <c r="AO546" s="153"/>
      <c r="AP546" s="61">
        <f t="shared" si="93"/>
        <v>1503868</v>
      </c>
      <c r="AQ546" s="75">
        <f t="shared" si="94"/>
        <v>1630553</v>
      </c>
      <c r="AR546" s="150" t="s">
        <v>342</v>
      </c>
    </row>
    <row r="547" spans="1:44" ht="26.25" x14ac:dyDescent="0.25">
      <c r="A547" s="4" t="s">
        <v>332</v>
      </c>
      <c r="B547" s="4" t="s">
        <v>404</v>
      </c>
      <c r="C547" s="5" t="s">
        <v>401</v>
      </c>
      <c r="D547" s="151"/>
      <c r="E547" s="153"/>
      <c r="F547" s="151"/>
      <c r="G547" s="153"/>
      <c r="H547" s="151"/>
      <c r="I547" s="153"/>
      <c r="J547" s="151"/>
      <c r="K547" s="153"/>
      <c r="L547" s="151"/>
      <c r="M547" s="153"/>
      <c r="N547" s="151"/>
      <c r="O547" s="153"/>
      <c r="P547" s="151"/>
      <c r="Q547" s="153"/>
      <c r="R547" s="151"/>
      <c r="S547" s="153"/>
      <c r="T547" s="151"/>
      <c r="U547" s="153"/>
      <c r="V547" s="151"/>
      <c r="W547" s="153"/>
      <c r="X547" s="151"/>
      <c r="Y547" s="153"/>
      <c r="Z547" s="61">
        <f t="shared" si="91"/>
        <v>0</v>
      </c>
      <c r="AA547" s="75">
        <f t="shared" si="92"/>
        <v>0</v>
      </c>
      <c r="AB547" s="151"/>
      <c r="AC547" s="153"/>
      <c r="AD547" s="151">
        <v>57895</v>
      </c>
      <c r="AE547" s="153">
        <v>57895</v>
      </c>
      <c r="AF547" s="151"/>
      <c r="AG547" s="153"/>
      <c r="AH547" s="151"/>
      <c r="AI547" s="153"/>
      <c r="AJ547" s="151"/>
      <c r="AK547" s="153"/>
      <c r="AL547" s="151"/>
      <c r="AM547" s="153"/>
      <c r="AN547" s="151"/>
      <c r="AO547" s="153"/>
      <c r="AP547" s="61">
        <f t="shared" si="93"/>
        <v>57895</v>
      </c>
      <c r="AQ547" s="75">
        <f t="shared" si="94"/>
        <v>57895</v>
      </c>
      <c r="AR547" s="150" t="s">
        <v>342</v>
      </c>
    </row>
    <row r="548" spans="1:44" x14ac:dyDescent="0.25">
      <c r="A548" s="4" t="s">
        <v>332</v>
      </c>
      <c r="B548" s="4" t="s">
        <v>405</v>
      </c>
      <c r="C548" s="5" t="s">
        <v>57</v>
      </c>
      <c r="D548" s="151"/>
      <c r="E548" s="153"/>
      <c r="F548" s="151"/>
      <c r="G548" s="153"/>
      <c r="H548" s="151"/>
      <c r="I548" s="153"/>
      <c r="J548" s="151"/>
      <c r="K548" s="153"/>
      <c r="L548" s="151"/>
      <c r="M548" s="153"/>
      <c r="N548" s="151"/>
      <c r="O548" s="153"/>
      <c r="P548" s="151"/>
      <c r="Q548" s="153"/>
      <c r="R548" s="151"/>
      <c r="S548" s="153"/>
      <c r="T548" s="151"/>
      <c r="U548" s="153"/>
      <c r="V548" s="151"/>
      <c r="W548" s="153"/>
      <c r="X548" s="151"/>
      <c r="Y548" s="153"/>
      <c r="Z548" s="61">
        <f t="shared" si="91"/>
        <v>0</v>
      </c>
      <c r="AA548" s="75">
        <f t="shared" si="92"/>
        <v>0</v>
      </c>
      <c r="AB548" s="151"/>
      <c r="AC548" s="153"/>
      <c r="AD548" s="151">
        <v>1150</v>
      </c>
      <c r="AE548" s="153">
        <v>1150</v>
      </c>
      <c r="AF548" s="151"/>
      <c r="AG548" s="153"/>
      <c r="AH548" s="151"/>
      <c r="AI548" s="153"/>
      <c r="AJ548" s="151"/>
      <c r="AK548" s="153"/>
      <c r="AL548" s="151"/>
      <c r="AM548" s="153"/>
      <c r="AN548" s="151"/>
      <c r="AO548" s="153"/>
      <c r="AP548" s="61">
        <f t="shared" si="93"/>
        <v>1150</v>
      </c>
      <c r="AQ548" s="75">
        <f t="shared" si="94"/>
        <v>1150</v>
      </c>
      <c r="AR548" s="150" t="s">
        <v>342</v>
      </c>
    </row>
    <row r="549" spans="1:44" x14ac:dyDescent="0.25">
      <c r="A549" s="4" t="s">
        <v>332</v>
      </c>
      <c r="B549" s="4" t="s">
        <v>406</v>
      </c>
      <c r="C549" s="5" t="s">
        <v>407</v>
      </c>
      <c r="D549" s="151"/>
      <c r="E549" s="153"/>
      <c r="F549" s="151"/>
      <c r="G549" s="153"/>
      <c r="H549" s="151"/>
      <c r="I549" s="153"/>
      <c r="J549" s="151"/>
      <c r="K549" s="153"/>
      <c r="L549" s="151"/>
      <c r="M549" s="153"/>
      <c r="N549" s="151"/>
      <c r="O549" s="153"/>
      <c r="P549" s="151"/>
      <c r="Q549" s="153"/>
      <c r="R549" s="151"/>
      <c r="S549" s="153"/>
      <c r="T549" s="151"/>
      <c r="U549" s="153"/>
      <c r="V549" s="151"/>
      <c r="W549" s="153"/>
      <c r="X549" s="151"/>
      <c r="Y549" s="153"/>
      <c r="Z549" s="61">
        <f t="shared" ref="Z549:Z560" si="95">D549+F549+H549+J549+L549+P549+R549+T549+V549+X549+N549</f>
        <v>0</v>
      </c>
      <c r="AA549" s="75">
        <f t="shared" ref="AA549:AA560" si="96">E549+G549+I549+K549+M549+Q549+S549+U549+W549+Y549+O549</f>
        <v>0</v>
      </c>
      <c r="AB549" s="151">
        <v>0</v>
      </c>
      <c r="AC549" s="153"/>
      <c r="AD549" s="151">
        <v>67200</v>
      </c>
      <c r="AE549" s="153">
        <v>55000</v>
      </c>
      <c r="AF549" s="151">
        <v>3500</v>
      </c>
      <c r="AG549" s="153">
        <v>3000</v>
      </c>
      <c r="AH549" s="151"/>
      <c r="AI549" s="153"/>
      <c r="AJ549" s="151"/>
      <c r="AK549" s="153"/>
      <c r="AL549" s="151">
        <v>75050</v>
      </c>
      <c r="AM549" s="153">
        <f>119050-AG549-AE549</f>
        <v>61050</v>
      </c>
      <c r="AN549" s="151"/>
      <c r="AO549" s="153"/>
      <c r="AP549" s="61">
        <f t="shared" ref="AP549:AP560" si="97">Z549+AB549+AD549+AF549+AH549+AJ549+AL549+AN549</f>
        <v>145750</v>
      </c>
      <c r="AQ549" s="75">
        <f t="shared" ref="AQ549:AQ560" si="98">AA549+AC549+AE549+AG549+AI549+AK549+AM549+AO549</f>
        <v>119050</v>
      </c>
      <c r="AR549" s="150" t="s">
        <v>342</v>
      </c>
    </row>
    <row r="550" spans="1:44" x14ac:dyDescent="0.25">
      <c r="A550" s="4" t="s">
        <v>332</v>
      </c>
      <c r="B550" s="4" t="s">
        <v>408</v>
      </c>
      <c r="C550" s="6" t="s">
        <v>379</v>
      </c>
      <c r="D550" s="151"/>
      <c r="E550" s="153"/>
      <c r="F550" s="151"/>
      <c r="G550" s="153"/>
      <c r="H550" s="151"/>
      <c r="I550" s="153"/>
      <c r="J550" s="151"/>
      <c r="K550" s="153"/>
      <c r="L550" s="151"/>
      <c r="M550" s="153"/>
      <c r="N550" s="151"/>
      <c r="O550" s="153"/>
      <c r="P550" s="151"/>
      <c r="Q550" s="153"/>
      <c r="R550" s="151"/>
      <c r="S550" s="153"/>
      <c r="T550" s="151"/>
      <c r="U550" s="153"/>
      <c r="V550" s="151"/>
      <c r="W550" s="153"/>
      <c r="X550" s="151"/>
      <c r="Y550" s="153"/>
      <c r="Z550" s="61">
        <f t="shared" si="95"/>
        <v>0</v>
      </c>
      <c r="AA550" s="75">
        <f t="shared" si="96"/>
        <v>0</v>
      </c>
      <c r="AB550" s="151"/>
      <c r="AC550" s="153"/>
      <c r="AD550" s="151">
        <v>39300</v>
      </c>
      <c r="AE550" s="153">
        <f>37410-AG550</f>
        <v>31410</v>
      </c>
      <c r="AF550" s="151">
        <v>6900</v>
      </c>
      <c r="AG550" s="153">
        <v>6000</v>
      </c>
      <c r="AH550" s="151"/>
      <c r="AI550" s="153"/>
      <c r="AJ550" s="151"/>
      <c r="AK550" s="153"/>
      <c r="AL550" s="151"/>
      <c r="AM550" s="153"/>
      <c r="AN550" s="151"/>
      <c r="AO550" s="153"/>
      <c r="AP550" s="61">
        <f t="shared" si="97"/>
        <v>46200</v>
      </c>
      <c r="AQ550" s="75">
        <f t="shared" si="98"/>
        <v>37410</v>
      </c>
      <c r="AR550" s="150" t="s">
        <v>342</v>
      </c>
    </row>
    <row r="551" spans="1:44" s="149" customFormat="1" ht="26.25" x14ac:dyDescent="0.25">
      <c r="A551" s="4" t="s">
        <v>332</v>
      </c>
      <c r="B551" s="4" t="s">
        <v>409</v>
      </c>
      <c r="C551" s="154" t="s">
        <v>60</v>
      </c>
      <c r="D551" s="151"/>
      <c r="E551" s="153"/>
      <c r="F551" s="151"/>
      <c r="G551" s="153"/>
      <c r="H551" s="151"/>
      <c r="I551" s="153"/>
      <c r="J551" s="151"/>
      <c r="K551" s="153"/>
      <c r="L551" s="151"/>
      <c r="M551" s="153"/>
      <c r="N551" s="151"/>
      <c r="O551" s="153"/>
      <c r="P551" s="151"/>
      <c r="Q551" s="153"/>
      <c r="R551" s="151"/>
      <c r="S551" s="153"/>
      <c r="T551" s="151"/>
      <c r="U551" s="153"/>
      <c r="V551" s="151"/>
      <c r="W551" s="153"/>
      <c r="X551" s="151"/>
      <c r="Y551" s="153"/>
      <c r="Z551" s="61">
        <f t="shared" si="95"/>
        <v>0</v>
      </c>
      <c r="AA551" s="75">
        <f t="shared" si="96"/>
        <v>0</v>
      </c>
      <c r="AB551" s="151"/>
      <c r="AC551" s="153"/>
      <c r="AD551" s="151"/>
      <c r="AE551" s="153">
        <v>24700</v>
      </c>
      <c r="AF551" s="151"/>
      <c r="AG551" s="153">
        <v>15000</v>
      </c>
      <c r="AH551" s="151"/>
      <c r="AI551" s="153"/>
      <c r="AJ551" s="151"/>
      <c r="AK551" s="153">
        <v>10000</v>
      </c>
      <c r="AL551" s="151"/>
      <c r="AM551" s="153"/>
      <c r="AN551" s="151"/>
      <c r="AO551" s="153"/>
      <c r="AP551" s="61">
        <f t="shared" si="97"/>
        <v>0</v>
      </c>
      <c r="AQ551" s="75">
        <f t="shared" si="98"/>
        <v>49700</v>
      </c>
      <c r="AR551" s="150"/>
    </row>
    <row r="552" spans="1:44" ht="27" customHeight="1" x14ac:dyDescent="0.25">
      <c r="A552" s="4" t="s">
        <v>332</v>
      </c>
      <c r="B552" s="161" t="s">
        <v>410</v>
      </c>
      <c r="C552" s="6" t="s">
        <v>379</v>
      </c>
      <c r="D552" s="151"/>
      <c r="E552" s="153"/>
      <c r="F552" s="151"/>
      <c r="G552" s="153"/>
      <c r="H552" s="151"/>
      <c r="I552" s="153"/>
      <c r="J552" s="151"/>
      <c r="K552" s="153"/>
      <c r="L552" s="151"/>
      <c r="M552" s="153"/>
      <c r="N552" s="151"/>
      <c r="O552" s="153"/>
      <c r="P552" s="151"/>
      <c r="Q552" s="153"/>
      <c r="R552" s="151"/>
      <c r="S552" s="153"/>
      <c r="T552" s="151"/>
      <c r="U552" s="153"/>
      <c r="V552" s="151"/>
      <c r="W552" s="153"/>
      <c r="X552" s="151"/>
      <c r="Y552" s="153"/>
      <c r="Z552" s="61">
        <f t="shared" si="95"/>
        <v>0</v>
      </c>
      <c r="AA552" s="75">
        <f t="shared" si="96"/>
        <v>0</v>
      </c>
      <c r="AB552" s="151"/>
      <c r="AC552" s="153"/>
      <c r="AD552" s="151">
        <v>45000</v>
      </c>
      <c r="AE552" s="153">
        <v>0</v>
      </c>
      <c r="AF552" s="151"/>
      <c r="AG552" s="153"/>
      <c r="AH552" s="151"/>
      <c r="AI552" s="153"/>
      <c r="AJ552" s="151"/>
      <c r="AK552" s="153"/>
      <c r="AL552" s="151"/>
      <c r="AM552" s="153"/>
      <c r="AN552" s="151"/>
      <c r="AO552" s="153"/>
      <c r="AP552" s="61">
        <f t="shared" si="97"/>
        <v>45000</v>
      </c>
      <c r="AQ552" s="75">
        <f t="shared" si="98"/>
        <v>0</v>
      </c>
      <c r="AR552" s="150" t="s">
        <v>342</v>
      </c>
    </row>
    <row r="553" spans="1:44" x14ac:dyDescent="0.25">
      <c r="A553" s="4" t="s">
        <v>332</v>
      </c>
      <c r="B553" s="4" t="s">
        <v>411</v>
      </c>
      <c r="C553" s="6" t="s">
        <v>311</v>
      </c>
      <c r="D553" s="151"/>
      <c r="E553" s="153"/>
      <c r="F553" s="151"/>
      <c r="G553" s="153"/>
      <c r="H553" s="151"/>
      <c r="I553" s="153"/>
      <c r="J553" s="151"/>
      <c r="K553" s="153"/>
      <c r="L553" s="151"/>
      <c r="M553" s="153"/>
      <c r="N553" s="151"/>
      <c r="O553" s="153"/>
      <c r="P553" s="151"/>
      <c r="Q553" s="153"/>
      <c r="R553" s="151"/>
      <c r="S553" s="153"/>
      <c r="T553" s="151"/>
      <c r="U553" s="153"/>
      <c r="V553" s="151"/>
      <c r="W553" s="153"/>
      <c r="X553" s="151"/>
      <c r="Y553" s="153"/>
      <c r="Z553" s="61">
        <f t="shared" si="95"/>
        <v>0</v>
      </c>
      <c r="AA553" s="75">
        <f t="shared" si="96"/>
        <v>0</v>
      </c>
      <c r="AB553" s="151"/>
      <c r="AC553" s="153"/>
      <c r="AD553" s="151"/>
      <c r="AE553" s="153"/>
      <c r="AF553" s="151"/>
      <c r="AG553" s="153"/>
      <c r="AH553" s="151"/>
      <c r="AI553" s="153"/>
      <c r="AJ553" s="151"/>
      <c r="AK553" s="153"/>
      <c r="AL553" s="151">
        <v>10000</v>
      </c>
      <c r="AM553" s="153">
        <v>10000</v>
      </c>
      <c r="AN553" s="151"/>
      <c r="AO553" s="153"/>
      <c r="AP553" s="61">
        <f t="shared" si="97"/>
        <v>10000</v>
      </c>
      <c r="AQ553" s="75">
        <f t="shared" si="98"/>
        <v>10000</v>
      </c>
      <c r="AR553" s="150"/>
    </row>
    <row r="554" spans="1:44" ht="26.25" x14ac:dyDescent="0.25">
      <c r="A554" s="4" t="s">
        <v>332</v>
      </c>
      <c r="B554" s="4" t="s">
        <v>412</v>
      </c>
      <c r="C554" s="5" t="s">
        <v>82</v>
      </c>
      <c r="D554" s="151"/>
      <c r="E554" s="153"/>
      <c r="F554" s="151"/>
      <c r="G554" s="153"/>
      <c r="H554" s="151"/>
      <c r="I554" s="153"/>
      <c r="J554" s="151"/>
      <c r="K554" s="153"/>
      <c r="L554" s="151"/>
      <c r="M554" s="153"/>
      <c r="N554" s="151"/>
      <c r="O554" s="153"/>
      <c r="P554" s="151"/>
      <c r="Q554" s="153"/>
      <c r="R554" s="151"/>
      <c r="S554" s="153"/>
      <c r="T554" s="151">
        <v>212293</v>
      </c>
      <c r="U554" s="153">
        <v>212293</v>
      </c>
      <c r="V554" s="151"/>
      <c r="W554" s="153"/>
      <c r="X554" s="151"/>
      <c r="Y554" s="153"/>
      <c r="Z554" s="61">
        <f t="shared" si="95"/>
        <v>212293</v>
      </c>
      <c r="AA554" s="75">
        <f t="shared" si="96"/>
        <v>212293</v>
      </c>
      <c r="AB554" s="151"/>
      <c r="AC554" s="153"/>
      <c r="AD554" s="151"/>
      <c r="AE554" s="153"/>
      <c r="AF554" s="151"/>
      <c r="AG554" s="153"/>
      <c r="AH554" s="151"/>
      <c r="AI554" s="153"/>
      <c r="AJ554" s="151"/>
      <c r="AK554" s="153"/>
      <c r="AL554" s="151"/>
      <c r="AM554" s="153"/>
      <c r="AN554" s="151"/>
      <c r="AO554" s="153"/>
      <c r="AP554" s="61">
        <f t="shared" si="97"/>
        <v>212293</v>
      </c>
      <c r="AQ554" s="75">
        <f t="shared" si="98"/>
        <v>212293</v>
      </c>
      <c r="AR554" s="150" t="s">
        <v>80</v>
      </c>
    </row>
    <row r="555" spans="1:44" ht="39" x14ac:dyDescent="0.25">
      <c r="A555" s="4" t="s">
        <v>332</v>
      </c>
      <c r="B555" s="4" t="s">
        <v>413</v>
      </c>
      <c r="C555" s="5" t="s">
        <v>82</v>
      </c>
      <c r="D555" s="151">
        <v>589371</v>
      </c>
      <c r="E555" s="153">
        <v>618886</v>
      </c>
      <c r="F555" s="151"/>
      <c r="G555" s="153"/>
      <c r="H555" s="151"/>
      <c r="I555" s="153"/>
      <c r="J555" s="151"/>
      <c r="K555" s="153"/>
      <c r="L555" s="151"/>
      <c r="M555" s="153"/>
      <c r="N555" s="151"/>
      <c r="O555" s="153"/>
      <c r="P555" s="151"/>
      <c r="Q555" s="153"/>
      <c r="R555" s="151"/>
      <c r="S555" s="153"/>
      <c r="T555" s="151"/>
      <c r="U555" s="153"/>
      <c r="V555" s="151"/>
      <c r="W555" s="153"/>
      <c r="X555" s="151"/>
      <c r="Y555" s="153"/>
      <c r="Z555" s="61">
        <f t="shared" si="95"/>
        <v>589371</v>
      </c>
      <c r="AA555" s="75">
        <f t="shared" si="96"/>
        <v>618886</v>
      </c>
      <c r="AB555" s="151"/>
      <c r="AC555" s="153"/>
      <c r="AD555" s="151"/>
      <c r="AE555" s="153"/>
      <c r="AF555" s="151"/>
      <c r="AG555" s="153"/>
      <c r="AH555" s="151"/>
      <c r="AI555" s="153"/>
      <c r="AJ555" s="151"/>
      <c r="AK555" s="153"/>
      <c r="AL555" s="151"/>
      <c r="AM555" s="153"/>
      <c r="AN555" s="151"/>
      <c r="AO555" s="153"/>
      <c r="AP555" s="61">
        <f t="shared" si="97"/>
        <v>589371</v>
      </c>
      <c r="AQ555" s="75">
        <f t="shared" si="98"/>
        <v>618886</v>
      </c>
      <c r="AR555" s="150" t="s">
        <v>80</v>
      </c>
    </row>
    <row r="556" spans="1:44" x14ac:dyDescent="0.25">
      <c r="A556" s="4" t="s">
        <v>332</v>
      </c>
      <c r="B556" s="4" t="s">
        <v>414</v>
      </c>
      <c r="C556" s="5" t="s">
        <v>60</v>
      </c>
      <c r="D556" s="151"/>
      <c r="E556" s="153"/>
      <c r="F556" s="151"/>
      <c r="G556" s="153"/>
      <c r="H556" s="151"/>
      <c r="I556" s="153"/>
      <c r="J556" s="151"/>
      <c r="K556" s="153"/>
      <c r="L556" s="151"/>
      <c r="M556" s="153"/>
      <c r="N556" s="151"/>
      <c r="O556" s="153"/>
      <c r="P556" s="151"/>
      <c r="Q556" s="153"/>
      <c r="R556" s="151"/>
      <c r="S556" s="153"/>
      <c r="T556" s="151"/>
      <c r="U556" s="153"/>
      <c r="V556" s="151"/>
      <c r="W556" s="153"/>
      <c r="X556" s="151"/>
      <c r="Y556" s="153"/>
      <c r="Z556" s="61">
        <f t="shared" si="95"/>
        <v>0</v>
      </c>
      <c r="AA556" s="75">
        <f t="shared" si="96"/>
        <v>0</v>
      </c>
      <c r="AB556" s="151"/>
      <c r="AC556" s="153"/>
      <c r="AD556" s="151">
        <v>9135</v>
      </c>
      <c r="AE556" s="153">
        <v>8135</v>
      </c>
      <c r="AF556" s="151"/>
      <c r="AG556" s="153"/>
      <c r="AH556" s="151"/>
      <c r="AI556" s="153"/>
      <c r="AJ556" s="151"/>
      <c r="AK556" s="153"/>
      <c r="AL556" s="151"/>
      <c r="AM556" s="153"/>
      <c r="AN556" s="151"/>
      <c r="AO556" s="153"/>
      <c r="AP556" s="61">
        <f t="shared" si="97"/>
        <v>9135</v>
      </c>
      <c r="AQ556" s="75">
        <f t="shared" si="98"/>
        <v>8135</v>
      </c>
      <c r="AR556" s="150" t="s">
        <v>314</v>
      </c>
    </row>
    <row r="557" spans="1:44" x14ac:dyDescent="0.25">
      <c r="A557" s="4" t="s">
        <v>332</v>
      </c>
      <c r="B557" s="44" t="s">
        <v>415</v>
      </c>
      <c r="C557" s="7" t="s">
        <v>60</v>
      </c>
      <c r="D557" s="151"/>
      <c r="E557" s="153"/>
      <c r="F557" s="151"/>
      <c r="G557" s="153"/>
      <c r="H557" s="151"/>
      <c r="I557" s="97">
        <f>9065+1000</f>
        <v>10065</v>
      </c>
      <c r="J557" s="151"/>
      <c r="K557" s="97">
        <v>500</v>
      </c>
      <c r="L557" s="151"/>
      <c r="M557" s="97">
        <f>2600+150</f>
        <v>2750</v>
      </c>
      <c r="N557" s="151"/>
      <c r="O557" s="97">
        <v>200</v>
      </c>
      <c r="P557" s="151"/>
      <c r="Q557" s="153"/>
      <c r="R557" s="151"/>
      <c r="S557" s="153"/>
      <c r="T557" s="151"/>
      <c r="U557" s="153"/>
      <c r="V557" s="151"/>
      <c r="W557" s="153"/>
      <c r="X557" s="151"/>
      <c r="Y557" s="153"/>
      <c r="Z557" s="61">
        <f t="shared" si="95"/>
        <v>0</v>
      </c>
      <c r="AA557" s="75">
        <f t="shared" si="96"/>
        <v>13515</v>
      </c>
      <c r="AB557" s="151"/>
      <c r="AC557" s="153"/>
      <c r="AD557" s="151"/>
      <c r="AE557" s="97">
        <f>21000+300</f>
        <v>21300</v>
      </c>
      <c r="AF557" s="62"/>
      <c r="AG557" s="97">
        <f>40000+600</f>
        <v>40600</v>
      </c>
      <c r="AH557" s="62"/>
      <c r="AI557" s="73"/>
      <c r="AJ557" s="62"/>
      <c r="AK557" s="73"/>
      <c r="AL557" s="62"/>
      <c r="AM557" s="97">
        <v>39000</v>
      </c>
      <c r="AN557" s="151"/>
      <c r="AO557" s="153"/>
      <c r="AP557" s="61">
        <f t="shared" si="97"/>
        <v>0</v>
      </c>
      <c r="AQ557" s="75">
        <f t="shared" si="98"/>
        <v>114415</v>
      </c>
      <c r="AR557" s="150"/>
    </row>
    <row r="558" spans="1:44" x14ac:dyDescent="0.25">
      <c r="A558" s="4" t="s">
        <v>332</v>
      </c>
      <c r="B558" s="4" t="s">
        <v>105</v>
      </c>
      <c r="C558" s="6"/>
      <c r="D558" s="151">
        <v>36848</v>
      </c>
      <c r="E558" s="153">
        <v>38997</v>
      </c>
      <c r="F558" s="151"/>
      <c r="G558" s="153"/>
      <c r="H558" s="151"/>
      <c r="I558" s="153"/>
      <c r="J558" s="151"/>
      <c r="K558" s="153"/>
      <c r="L558" s="151"/>
      <c r="M558" s="153"/>
      <c r="N558" s="151"/>
      <c r="O558" s="153"/>
      <c r="P558" s="151"/>
      <c r="Q558" s="153"/>
      <c r="R558" s="151"/>
      <c r="S558" s="153"/>
      <c r="T558" s="151"/>
      <c r="U558" s="153"/>
      <c r="V558" s="151"/>
      <c r="W558" s="153"/>
      <c r="X558" s="151"/>
      <c r="Y558" s="153"/>
      <c r="Z558" s="61">
        <f t="shared" si="95"/>
        <v>36848</v>
      </c>
      <c r="AA558" s="75">
        <f t="shared" si="96"/>
        <v>38997</v>
      </c>
      <c r="AB558" s="151"/>
      <c r="AC558" s="153"/>
      <c r="AD558" s="151"/>
      <c r="AE558" s="153"/>
      <c r="AF558" s="151"/>
      <c r="AG558" s="153"/>
      <c r="AH558" s="151"/>
      <c r="AI558" s="153"/>
      <c r="AJ558" s="151"/>
      <c r="AK558" s="153"/>
      <c r="AL558" s="151"/>
      <c r="AM558" s="153"/>
      <c r="AN558" s="151"/>
      <c r="AO558" s="153"/>
      <c r="AP558" s="61">
        <f t="shared" si="97"/>
        <v>36848</v>
      </c>
      <c r="AQ558" s="75">
        <f t="shared" si="98"/>
        <v>38997</v>
      </c>
      <c r="AR558" s="150" t="s">
        <v>342</v>
      </c>
    </row>
    <row r="559" spans="1:44" ht="26.25" x14ac:dyDescent="0.25">
      <c r="A559" s="4" t="s">
        <v>332</v>
      </c>
      <c r="B559" s="4" t="s">
        <v>416</v>
      </c>
      <c r="C559" s="6"/>
      <c r="D559" s="151">
        <f>38562+13398+1117</f>
        <v>53077</v>
      </c>
      <c r="E559" s="153">
        <v>53077</v>
      </c>
      <c r="F559" s="151"/>
      <c r="G559" s="153"/>
      <c r="H559" s="151"/>
      <c r="I559" s="153"/>
      <c r="J559" s="151"/>
      <c r="K559" s="153"/>
      <c r="L559" s="151"/>
      <c r="M559" s="153"/>
      <c r="N559" s="151"/>
      <c r="O559" s="153"/>
      <c r="P559" s="151"/>
      <c r="Q559" s="153"/>
      <c r="R559" s="151"/>
      <c r="S559" s="153"/>
      <c r="T559" s="151"/>
      <c r="U559" s="153"/>
      <c r="V559" s="151"/>
      <c r="W559" s="153"/>
      <c r="X559" s="151"/>
      <c r="Y559" s="153"/>
      <c r="Z559" s="61">
        <f t="shared" si="95"/>
        <v>53077</v>
      </c>
      <c r="AA559" s="75">
        <f t="shared" si="96"/>
        <v>53077</v>
      </c>
      <c r="AB559" s="151"/>
      <c r="AC559" s="153"/>
      <c r="AD559" s="151"/>
      <c r="AE559" s="153"/>
      <c r="AF559" s="151"/>
      <c r="AG559" s="153"/>
      <c r="AH559" s="151"/>
      <c r="AI559" s="153"/>
      <c r="AJ559" s="151"/>
      <c r="AK559" s="153"/>
      <c r="AL559" s="151"/>
      <c r="AM559" s="153"/>
      <c r="AN559" s="151"/>
      <c r="AO559" s="153"/>
      <c r="AP559" s="61">
        <f t="shared" si="97"/>
        <v>53077</v>
      </c>
      <c r="AQ559" s="75">
        <f t="shared" si="98"/>
        <v>53077</v>
      </c>
      <c r="AR559" s="150" t="s">
        <v>342</v>
      </c>
    </row>
    <row r="560" spans="1:44" x14ac:dyDescent="0.25">
      <c r="A560" s="4" t="s">
        <v>332</v>
      </c>
      <c r="B560" s="4" t="s">
        <v>106</v>
      </c>
      <c r="C560" s="5"/>
      <c r="D560" s="151">
        <v>38383</v>
      </c>
      <c r="E560" s="153">
        <v>40622</v>
      </c>
      <c r="F560" s="151"/>
      <c r="G560" s="153"/>
      <c r="H560" s="151"/>
      <c r="I560" s="153"/>
      <c r="J560" s="151"/>
      <c r="K560" s="153"/>
      <c r="L560" s="151"/>
      <c r="M560" s="153"/>
      <c r="N560" s="151"/>
      <c r="O560" s="153"/>
      <c r="P560" s="151"/>
      <c r="Q560" s="153"/>
      <c r="R560" s="151"/>
      <c r="S560" s="153"/>
      <c r="T560" s="151"/>
      <c r="U560" s="153"/>
      <c r="V560" s="151"/>
      <c r="W560" s="153"/>
      <c r="X560" s="151"/>
      <c r="Y560" s="153"/>
      <c r="Z560" s="61">
        <f t="shared" si="95"/>
        <v>38383</v>
      </c>
      <c r="AA560" s="75">
        <f t="shared" si="96"/>
        <v>40622</v>
      </c>
      <c r="AB560" s="151"/>
      <c r="AC560" s="153"/>
      <c r="AD560" s="151"/>
      <c r="AE560" s="153"/>
      <c r="AF560" s="151"/>
      <c r="AG560" s="153"/>
      <c r="AH560" s="151"/>
      <c r="AI560" s="153"/>
      <c r="AJ560" s="151"/>
      <c r="AK560" s="153"/>
      <c r="AL560" s="151"/>
      <c r="AM560" s="153"/>
      <c r="AN560" s="151"/>
      <c r="AO560" s="153"/>
      <c r="AP560" s="61">
        <f t="shared" si="97"/>
        <v>38383</v>
      </c>
      <c r="AQ560" s="75">
        <f t="shared" si="98"/>
        <v>40622</v>
      </c>
      <c r="AR560" s="150" t="s">
        <v>342</v>
      </c>
    </row>
    <row r="561" spans="1:45" ht="24.95" customHeight="1" collapsed="1" x14ac:dyDescent="0.25">
      <c r="A561" s="16" t="s">
        <v>417</v>
      </c>
      <c r="B561" s="16" t="s">
        <v>108</v>
      </c>
      <c r="C561" s="16"/>
      <c r="D561" s="16">
        <f t="shared" ref="D561:AQ561" si="99">SUM(D485:D560)</f>
        <v>2655991</v>
      </c>
      <c r="E561" s="16">
        <f t="shared" si="99"/>
        <v>2890001</v>
      </c>
      <c r="F561" s="16">
        <f t="shared" si="99"/>
        <v>35612</v>
      </c>
      <c r="G561" s="16">
        <f t="shared" si="99"/>
        <v>35232</v>
      </c>
      <c r="H561" s="16">
        <f t="shared" si="99"/>
        <v>37300</v>
      </c>
      <c r="I561" s="16">
        <f t="shared" si="99"/>
        <v>48165</v>
      </c>
      <c r="J561" s="16">
        <f t="shared" si="99"/>
        <v>12100</v>
      </c>
      <c r="K561" s="16">
        <f t="shared" si="99"/>
        <v>14000</v>
      </c>
      <c r="L561" s="16">
        <f t="shared" si="99"/>
        <v>41350</v>
      </c>
      <c r="M561" s="16">
        <f t="shared" si="99"/>
        <v>43700</v>
      </c>
      <c r="N561" s="16">
        <f t="shared" si="99"/>
        <v>8310</v>
      </c>
      <c r="O561" s="16">
        <f t="shared" si="99"/>
        <v>8300</v>
      </c>
      <c r="P561" s="16">
        <f t="shared" si="99"/>
        <v>0</v>
      </c>
      <c r="Q561" s="16">
        <f t="shared" si="99"/>
        <v>0</v>
      </c>
      <c r="R561" s="16">
        <f t="shared" si="99"/>
        <v>20800</v>
      </c>
      <c r="S561" s="16">
        <f t="shared" si="99"/>
        <v>22480</v>
      </c>
      <c r="T561" s="16">
        <f t="shared" si="99"/>
        <v>218398</v>
      </c>
      <c r="U561" s="16">
        <f t="shared" si="99"/>
        <v>220704</v>
      </c>
      <c r="V561" s="16">
        <f t="shared" si="99"/>
        <v>0</v>
      </c>
      <c r="W561" s="16">
        <f t="shared" si="99"/>
        <v>0</v>
      </c>
      <c r="X561" s="16">
        <f t="shared" si="99"/>
        <v>2000</v>
      </c>
      <c r="Y561" s="16">
        <f t="shared" si="99"/>
        <v>2000</v>
      </c>
      <c r="Z561" s="16">
        <f t="shared" si="99"/>
        <v>3031861</v>
      </c>
      <c r="AA561" s="16">
        <f t="shared" si="99"/>
        <v>3284582</v>
      </c>
      <c r="AB561" s="16">
        <f t="shared" si="99"/>
        <v>9190</v>
      </c>
      <c r="AC561" s="16">
        <f t="shared" si="99"/>
        <v>7261</v>
      </c>
      <c r="AD561" s="16">
        <f t="shared" si="99"/>
        <v>3274553</v>
      </c>
      <c r="AE561" s="16">
        <f t="shared" si="99"/>
        <v>3133759</v>
      </c>
      <c r="AF561" s="16">
        <f t="shared" si="99"/>
        <v>226363</v>
      </c>
      <c r="AG561" s="16">
        <f t="shared" si="99"/>
        <v>244369</v>
      </c>
      <c r="AH561" s="16">
        <f t="shared" si="99"/>
        <v>48934</v>
      </c>
      <c r="AI561" s="16">
        <f t="shared" si="99"/>
        <v>79550</v>
      </c>
      <c r="AJ561" s="16">
        <f t="shared" si="99"/>
        <v>113456</v>
      </c>
      <c r="AK561" s="16">
        <f t="shared" si="99"/>
        <v>12500</v>
      </c>
      <c r="AL561" s="16">
        <f t="shared" si="99"/>
        <v>1233595</v>
      </c>
      <c r="AM561" s="16">
        <f t="shared" si="99"/>
        <v>1474132</v>
      </c>
      <c r="AN561" s="16">
        <f t="shared" si="99"/>
        <v>499000</v>
      </c>
      <c r="AO561" s="16">
        <f t="shared" si="99"/>
        <v>649000</v>
      </c>
      <c r="AP561" s="16">
        <f t="shared" si="99"/>
        <v>8436952</v>
      </c>
      <c r="AQ561" s="16">
        <f t="shared" si="99"/>
        <v>8885153</v>
      </c>
      <c r="AR561" s="150"/>
      <c r="AS561" s="149"/>
    </row>
    <row r="562" spans="1:45" s="15" customFormat="1" ht="30" customHeight="1" x14ac:dyDescent="0.25">
      <c r="A562" s="41"/>
      <c r="B562" s="41" t="s">
        <v>418</v>
      </c>
      <c r="C562" s="41"/>
      <c r="D562" s="41">
        <f t="shared" ref="D562:AQ562" si="100">D419+D484+D561</f>
        <v>14362500</v>
      </c>
      <c r="E562" s="41">
        <f t="shared" si="100"/>
        <v>15522626</v>
      </c>
      <c r="F562" s="41">
        <f t="shared" si="100"/>
        <v>103537</v>
      </c>
      <c r="G562" s="41">
        <f t="shared" si="100"/>
        <v>100125</v>
      </c>
      <c r="H562" s="41">
        <f t="shared" si="100"/>
        <v>643416</v>
      </c>
      <c r="I562" s="41">
        <f t="shared" si="100"/>
        <v>687452</v>
      </c>
      <c r="J562" s="41">
        <f t="shared" si="100"/>
        <v>132272</v>
      </c>
      <c r="K562" s="41">
        <f t="shared" si="100"/>
        <v>134826</v>
      </c>
      <c r="L562" s="41">
        <f t="shared" si="100"/>
        <v>528699</v>
      </c>
      <c r="M562" s="41">
        <f t="shared" si="100"/>
        <v>545288</v>
      </c>
      <c r="N562" s="41">
        <f t="shared" si="100"/>
        <v>97611</v>
      </c>
      <c r="O562" s="41">
        <f t="shared" si="100"/>
        <v>95777</v>
      </c>
      <c r="P562" s="41">
        <f t="shared" si="100"/>
        <v>189545</v>
      </c>
      <c r="Q562" s="41">
        <f t="shared" si="100"/>
        <v>158704</v>
      </c>
      <c r="R562" s="41">
        <f t="shared" si="100"/>
        <v>374831</v>
      </c>
      <c r="S562" s="41">
        <f t="shared" si="100"/>
        <v>356458</v>
      </c>
      <c r="T562" s="41">
        <f t="shared" si="100"/>
        <v>806522</v>
      </c>
      <c r="U562" s="41">
        <f t="shared" si="100"/>
        <v>808119</v>
      </c>
      <c r="V562" s="41">
        <f t="shared" si="100"/>
        <v>199693</v>
      </c>
      <c r="W562" s="41">
        <f t="shared" si="100"/>
        <v>187863</v>
      </c>
      <c r="X562" s="41">
        <f t="shared" si="100"/>
        <v>20722</v>
      </c>
      <c r="Y562" s="41">
        <f t="shared" si="100"/>
        <v>5808</v>
      </c>
      <c r="Z562" s="41">
        <f t="shared" si="100"/>
        <v>17459348</v>
      </c>
      <c r="AA562" s="41">
        <f t="shared" si="100"/>
        <v>18603046</v>
      </c>
      <c r="AB562" s="41">
        <f t="shared" si="100"/>
        <v>21430</v>
      </c>
      <c r="AC562" s="41">
        <f t="shared" si="100"/>
        <v>14861</v>
      </c>
      <c r="AD562" s="41">
        <f t="shared" si="100"/>
        <v>5289650</v>
      </c>
      <c r="AE562" s="41">
        <f t="shared" si="100"/>
        <v>4966791</v>
      </c>
      <c r="AF562" s="41">
        <f t="shared" si="100"/>
        <v>1171231</v>
      </c>
      <c r="AG562" s="41">
        <f t="shared" si="100"/>
        <v>1223796</v>
      </c>
      <c r="AH562" s="41">
        <f t="shared" si="100"/>
        <v>97986</v>
      </c>
      <c r="AI562" s="41">
        <f t="shared" si="100"/>
        <v>127181</v>
      </c>
      <c r="AJ562" s="41">
        <f t="shared" si="100"/>
        <v>123456</v>
      </c>
      <c r="AK562" s="41">
        <f t="shared" si="100"/>
        <v>12500</v>
      </c>
      <c r="AL562" s="41">
        <f t="shared" si="100"/>
        <v>1403627</v>
      </c>
      <c r="AM562" s="41">
        <f t="shared" si="100"/>
        <v>1641898</v>
      </c>
      <c r="AN562" s="41">
        <f t="shared" si="100"/>
        <v>501297</v>
      </c>
      <c r="AO562" s="41">
        <f t="shared" si="100"/>
        <v>652326</v>
      </c>
      <c r="AP562" s="41">
        <f t="shared" si="100"/>
        <v>26068025</v>
      </c>
      <c r="AQ562" s="41">
        <f t="shared" si="100"/>
        <v>27242399</v>
      </c>
      <c r="AR562" s="150"/>
    </row>
    <row r="565" spans="1:45" x14ac:dyDescent="0.25">
      <c r="A565" s="149"/>
      <c r="B565" s="149"/>
      <c r="C565" s="149"/>
      <c r="Z565" s="149"/>
      <c r="AA565" s="149"/>
      <c r="AP565" s="20"/>
      <c r="AQ565" s="20"/>
      <c r="AR565" s="149"/>
      <c r="AS565" s="149"/>
    </row>
    <row r="567" spans="1:45" x14ac:dyDescent="0.25">
      <c r="A567" s="149"/>
      <c r="B567" s="149"/>
      <c r="C567" s="149"/>
      <c r="Z567" s="149"/>
      <c r="AA567" s="149"/>
      <c r="AP567" s="149"/>
      <c r="AQ567" s="149"/>
      <c r="AR567" s="149"/>
      <c r="AS567" s="149"/>
    </row>
    <row r="568" spans="1:45" x14ac:dyDescent="0.25">
      <c r="A568" s="149"/>
      <c r="B568" s="149"/>
      <c r="C568" s="149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149"/>
      <c r="AP568" s="149"/>
      <c r="AQ568" s="149"/>
      <c r="AR568" s="149"/>
      <c r="AS568" s="149"/>
    </row>
    <row r="569" spans="1:45" x14ac:dyDescent="0.25">
      <c r="A569" s="149"/>
      <c r="B569" s="149"/>
      <c r="C569" s="149"/>
      <c r="W569" s="149"/>
      <c r="X569" s="149"/>
      <c r="Z569"/>
      <c r="AA569"/>
      <c r="AM569" s="149"/>
      <c r="AN569" s="149"/>
      <c r="AO569" s="149"/>
      <c r="AP569" s="149"/>
      <c r="AQ569" s="20"/>
      <c r="AR569" s="149"/>
      <c r="AS569" s="149"/>
    </row>
    <row r="570" spans="1:45" x14ac:dyDescent="0.25">
      <c r="A570" s="149"/>
      <c r="B570" s="149"/>
      <c r="C570" s="149"/>
      <c r="W570" s="149"/>
      <c r="X570" s="149"/>
      <c r="Z570"/>
      <c r="AA570"/>
      <c r="AM570" s="149"/>
      <c r="AN570" s="149"/>
      <c r="AO570" s="149"/>
      <c r="AP570" s="149"/>
      <c r="AQ570" s="149"/>
      <c r="AR570" s="149"/>
      <c r="AS570" s="149"/>
    </row>
  </sheetData>
  <autoFilter ref="A6:AR562" xr:uid="{00000000-0009-0000-0000-000000000000}"/>
  <mergeCells count="4">
    <mergeCell ref="AN1:AR1"/>
    <mergeCell ref="AJ2:AR2"/>
    <mergeCell ref="AL3:AR3"/>
    <mergeCell ref="AL4:AR4"/>
  </mergeCells>
  <pageMargins left="0.7" right="0.7" top="0.75" bottom="0.75" header="0.3" footer="0.3"/>
  <pageSetup paperSize="9" scale="2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S45"/>
  <sheetViews>
    <sheetView zoomScaleNormal="100" workbookViewId="0">
      <pane xSplit="2" ySplit="9" topLeftCell="C31" activePane="bottomRight" state="frozen"/>
      <selection pane="topRight" activeCell="C1" sqref="C1"/>
      <selection pane="bottomLeft" activeCell="A8" sqref="A8"/>
      <selection pane="bottomRight" activeCell="C36" sqref="C36"/>
    </sheetView>
  </sheetViews>
  <sheetFormatPr defaultRowHeight="15" x14ac:dyDescent="0.25"/>
  <cols>
    <col min="1" max="1" width="6.5703125" style="22" bestFit="1" customWidth="1"/>
    <col min="2" max="2" width="23.42578125" style="22" customWidth="1"/>
    <col min="3" max="3" width="12" style="22" bestFit="1" customWidth="1"/>
    <col min="4" max="4" width="9.140625" style="22"/>
    <col min="5" max="5" width="7.5703125" style="22" bestFit="1" customWidth="1"/>
    <col min="6" max="6" width="7.85546875" style="22" customWidth="1"/>
    <col min="7" max="7" width="7.5703125" style="22" bestFit="1" customWidth="1"/>
    <col min="8" max="8" width="9.140625" style="22" bestFit="1" customWidth="1"/>
    <col min="9" max="11" width="8.140625" style="22" bestFit="1" customWidth="1"/>
    <col min="12" max="12" width="9.28515625" style="22" customWidth="1"/>
    <col min="13" max="14" width="8.140625" style="22" bestFit="1" customWidth="1"/>
    <col min="15" max="15" width="7.5703125" style="22" bestFit="1" customWidth="1"/>
    <col min="16" max="16" width="9.28515625" style="22" customWidth="1"/>
    <col min="17" max="17" width="7.5703125" style="22" bestFit="1" customWidth="1"/>
    <col min="18" max="18" width="8.85546875" style="22" customWidth="1"/>
    <col min="19" max="19" width="10.140625" style="22" bestFit="1" customWidth="1"/>
    <col min="20" max="20" width="9.140625" style="22"/>
    <col min="21" max="22" width="9.140625" style="22" customWidth="1"/>
    <col min="23" max="16384" width="9.140625" style="22"/>
  </cols>
  <sheetData>
    <row r="1" spans="1:19" x14ac:dyDescent="0.25">
      <c r="O1" s="83"/>
      <c r="P1" s="83"/>
      <c r="Q1" s="172" t="s">
        <v>419</v>
      </c>
      <c r="R1" s="172"/>
      <c r="S1" s="172"/>
    </row>
    <row r="2" spans="1:19" x14ac:dyDescent="0.25">
      <c r="O2" s="172" t="s">
        <v>1</v>
      </c>
      <c r="P2" s="172"/>
      <c r="Q2" s="172"/>
      <c r="R2" s="172"/>
      <c r="S2" s="172"/>
    </row>
    <row r="3" spans="1:19" x14ac:dyDescent="0.25">
      <c r="O3" s="83"/>
      <c r="P3" s="172" t="s">
        <v>628</v>
      </c>
      <c r="Q3" s="172"/>
      <c r="R3" s="172"/>
      <c r="S3" s="172"/>
    </row>
    <row r="4" spans="1:19" x14ac:dyDescent="0.25">
      <c r="O4" s="83"/>
      <c r="P4" s="172" t="s">
        <v>629</v>
      </c>
      <c r="Q4" s="172"/>
      <c r="R4" s="172"/>
      <c r="S4" s="172"/>
    </row>
    <row r="5" spans="1:19" x14ac:dyDescent="0.25">
      <c r="F5" s="22" t="s">
        <v>420</v>
      </c>
      <c r="S5" s="40"/>
    </row>
    <row r="6" spans="1:19" x14ac:dyDescent="0.25">
      <c r="C6" s="63"/>
      <c r="D6" s="63"/>
      <c r="E6" s="63"/>
      <c r="F6" s="63" t="s">
        <v>421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x14ac:dyDescent="0.25">
      <c r="S7" s="23" t="s">
        <v>422</v>
      </c>
    </row>
    <row r="8" spans="1:19" ht="84" x14ac:dyDescent="0.25">
      <c r="A8" s="145"/>
      <c r="B8" s="24" t="s">
        <v>423</v>
      </c>
      <c r="C8" s="9" t="s">
        <v>424</v>
      </c>
      <c r="D8" s="9" t="s">
        <v>425</v>
      </c>
      <c r="E8" s="9" t="s">
        <v>426</v>
      </c>
      <c r="F8" s="9" t="s">
        <v>427</v>
      </c>
      <c r="G8" s="9" t="s">
        <v>428</v>
      </c>
      <c r="H8" s="9" t="s">
        <v>429</v>
      </c>
      <c r="I8" s="9" t="s">
        <v>430</v>
      </c>
      <c r="J8" s="9" t="s">
        <v>431</v>
      </c>
      <c r="K8" s="9" t="s">
        <v>432</v>
      </c>
      <c r="L8" s="9" t="s">
        <v>433</v>
      </c>
      <c r="M8" s="9" t="s">
        <v>434</v>
      </c>
      <c r="N8" s="9" t="s">
        <v>435</v>
      </c>
      <c r="O8" s="9" t="s">
        <v>436</v>
      </c>
      <c r="P8" s="9" t="s">
        <v>437</v>
      </c>
      <c r="Q8" s="9" t="s">
        <v>438</v>
      </c>
      <c r="R8" s="9" t="s">
        <v>439</v>
      </c>
      <c r="S8" s="9" t="s">
        <v>108</v>
      </c>
    </row>
    <row r="9" spans="1:19" x14ac:dyDescent="0.25">
      <c r="A9" s="25">
        <v>1</v>
      </c>
      <c r="B9" s="26">
        <v>2</v>
      </c>
      <c r="C9" s="26">
        <v>4</v>
      </c>
      <c r="D9" s="26">
        <v>5</v>
      </c>
      <c r="E9" s="26">
        <v>6</v>
      </c>
      <c r="F9" s="26">
        <v>7</v>
      </c>
      <c r="G9" s="26">
        <v>8</v>
      </c>
      <c r="H9" s="26">
        <v>9</v>
      </c>
      <c r="I9" s="26">
        <v>10</v>
      </c>
      <c r="J9" s="26">
        <v>11</v>
      </c>
      <c r="K9" s="26">
        <v>12</v>
      </c>
      <c r="L9" s="26">
        <v>13</v>
      </c>
      <c r="M9" s="26">
        <v>14</v>
      </c>
      <c r="N9" s="26">
        <v>15</v>
      </c>
      <c r="O9" s="26">
        <v>16</v>
      </c>
      <c r="P9" s="26">
        <v>17</v>
      </c>
      <c r="Q9" s="26">
        <v>18</v>
      </c>
      <c r="R9" s="26">
        <v>19</v>
      </c>
      <c r="S9" s="26">
        <v>20</v>
      </c>
    </row>
    <row r="10" spans="1:19" ht="30" x14ac:dyDescent="0.25">
      <c r="A10" s="146" t="s">
        <v>198</v>
      </c>
      <c r="B10" s="27" t="s">
        <v>440</v>
      </c>
      <c r="C10" s="145">
        <v>1230207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0">
        <f t="shared" ref="S10:S35" si="0">SUM(C10:R10)</f>
        <v>1230207</v>
      </c>
    </row>
    <row r="11" spans="1:19" x14ac:dyDescent="0.25">
      <c r="A11" s="146" t="s">
        <v>441</v>
      </c>
      <c r="B11" s="27" t="s">
        <v>442</v>
      </c>
      <c r="C11" s="145"/>
      <c r="D11" s="28">
        <v>20000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10">
        <f t="shared" si="0"/>
        <v>20000</v>
      </c>
    </row>
    <row r="12" spans="1:19" x14ac:dyDescent="0.25">
      <c r="A12" s="146" t="s">
        <v>156</v>
      </c>
      <c r="B12" s="27" t="s">
        <v>443</v>
      </c>
      <c r="C12" s="145"/>
      <c r="D12" s="28">
        <v>1100</v>
      </c>
      <c r="E12" s="28"/>
      <c r="F12" s="28"/>
      <c r="G12" s="28"/>
      <c r="H12" s="28"/>
      <c r="I12" s="28">
        <v>510</v>
      </c>
      <c r="J12" s="28"/>
      <c r="K12" s="28">
        <v>28</v>
      </c>
      <c r="L12" s="28">
        <v>33</v>
      </c>
      <c r="M12" s="28">
        <v>40</v>
      </c>
      <c r="N12" s="28"/>
      <c r="O12" s="28">
        <v>120</v>
      </c>
      <c r="P12" s="28"/>
      <c r="Q12" s="28">
        <v>500</v>
      </c>
      <c r="R12" s="28"/>
      <c r="S12" s="10">
        <f t="shared" si="0"/>
        <v>2331</v>
      </c>
    </row>
    <row r="13" spans="1:19" x14ac:dyDescent="0.25">
      <c r="A13" s="146" t="s">
        <v>444</v>
      </c>
      <c r="B13" s="27" t="s">
        <v>445</v>
      </c>
      <c r="C13" s="145"/>
      <c r="D13" s="28">
        <v>3200</v>
      </c>
      <c r="E13" s="28">
        <v>900</v>
      </c>
      <c r="F13" s="28">
        <v>660</v>
      </c>
      <c r="G13" s="28"/>
      <c r="H13" s="28">
        <v>45</v>
      </c>
      <c r="I13" s="28">
        <v>655</v>
      </c>
      <c r="J13" s="28">
        <v>100</v>
      </c>
      <c r="K13" s="28">
        <v>500</v>
      </c>
      <c r="L13" s="28">
        <v>755</v>
      </c>
      <c r="M13" s="28">
        <v>450</v>
      </c>
      <c r="N13" s="28">
        <v>230</v>
      </c>
      <c r="O13" s="28">
        <v>120</v>
      </c>
      <c r="P13" s="28">
        <v>1100</v>
      </c>
      <c r="Q13" s="28">
        <v>390</v>
      </c>
      <c r="R13" s="28">
        <v>90</v>
      </c>
      <c r="S13" s="10">
        <f t="shared" si="0"/>
        <v>9195</v>
      </c>
    </row>
    <row r="14" spans="1:19" x14ac:dyDescent="0.25">
      <c r="A14" s="146" t="s">
        <v>93</v>
      </c>
      <c r="B14" s="27" t="s">
        <v>446</v>
      </c>
      <c r="C14" s="145"/>
      <c r="D14" s="28">
        <v>5060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10">
        <f t="shared" si="0"/>
        <v>5060</v>
      </c>
    </row>
    <row r="15" spans="1:19" x14ac:dyDescent="0.25">
      <c r="A15" s="146" t="s">
        <v>447</v>
      </c>
      <c r="B15" s="27" t="s">
        <v>448</v>
      </c>
      <c r="C15" s="145"/>
      <c r="D15" s="28">
        <v>2000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0">
        <f t="shared" si="0"/>
        <v>2000</v>
      </c>
    </row>
    <row r="16" spans="1:19" ht="30" x14ac:dyDescent="0.25">
      <c r="A16" s="146" t="s">
        <v>449</v>
      </c>
      <c r="B16" s="27" t="s">
        <v>450</v>
      </c>
      <c r="C16" s="145"/>
      <c r="D16" s="28"/>
      <c r="E16" s="28">
        <v>185</v>
      </c>
      <c r="F16" s="28"/>
      <c r="G16" s="28"/>
      <c r="H16" s="28"/>
      <c r="I16" s="28"/>
      <c r="J16" s="28"/>
      <c r="K16" s="28">
        <v>340</v>
      </c>
      <c r="L16" s="28">
        <v>10</v>
      </c>
      <c r="M16" s="28"/>
      <c r="N16" s="28"/>
      <c r="O16" s="28">
        <v>11798</v>
      </c>
      <c r="P16" s="28"/>
      <c r="Q16" s="28"/>
      <c r="R16" s="28">
        <v>1322</v>
      </c>
      <c r="S16" s="10">
        <f t="shared" si="0"/>
        <v>13655</v>
      </c>
    </row>
    <row r="17" spans="1:19" ht="30" x14ac:dyDescent="0.25">
      <c r="A17" s="146" t="s">
        <v>451</v>
      </c>
      <c r="B17" s="27" t="s">
        <v>452</v>
      </c>
      <c r="C17" s="145"/>
      <c r="D17" s="28">
        <v>223690</v>
      </c>
      <c r="E17" s="28">
        <v>17213</v>
      </c>
      <c r="F17" s="28">
        <v>161280</v>
      </c>
      <c r="G17" s="28">
        <v>5040</v>
      </c>
      <c r="H17" s="28">
        <v>145345</v>
      </c>
      <c r="I17" s="28">
        <v>11815</v>
      </c>
      <c r="J17" s="28">
        <v>4005</v>
      </c>
      <c r="K17" s="28">
        <v>20165</v>
      </c>
      <c r="L17" s="28">
        <v>106800</v>
      </c>
      <c r="M17" s="28">
        <v>258362</v>
      </c>
      <c r="N17" s="28">
        <v>7203</v>
      </c>
      <c r="O17" s="28">
        <v>21782</v>
      </c>
      <c r="P17" s="28">
        <v>9200</v>
      </c>
      <c r="Q17" s="28">
        <v>13300</v>
      </c>
      <c r="R17" s="28">
        <v>3625</v>
      </c>
      <c r="S17" s="10">
        <f t="shared" si="0"/>
        <v>1008825</v>
      </c>
    </row>
    <row r="18" spans="1:19" ht="30" x14ac:dyDescent="0.25">
      <c r="A18" s="146" t="s">
        <v>453</v>
      </c>
      <c r="B18" s="27" t="s">
        <v>454</v>
      </c>
      <c r="C18" s="145">
        <v>10573284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10">
        <f t="shared" si="0"/>
        <v>10573284</v>
      </c>
    </row>
    <row r="19" spans="1:19" ht="45" x14ac:dyDescent="0.25">
      <c r="A19" s="29" t="s">
        <v>455</v>
      </c>
      <c r="B19" s="30" t="s">
        <v>456</v>
      </c>
      <c r="C19" s="145">
        <v>354084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0">
        <f>SUM(C19:R19)</f>
        <v>354084</v>
      </c>
    </row>
    <row r="20" spans="1:19" ht="45" x14ac:dyDescent="0.25">
      <c r="A20" s="29" t="s">
        <v>455</v>
      </c>
      <c r="B20" s="30" t="s">
        <v>457</v>
      </c>
      <c r="C20" s="145">
        <v>56766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10">
        <f>SUM(C20:R20)</f>
        <v>56766</v>
      </c>
    </row>
    <row r="21" spans="1:19" ht="45" x14ac:dyDescent="0.25">
      <c r="A21" s="29" t="s">
        <v>455</v>
      </c>
      <c r="B21" s="30" t="s">
        <v>458</v>
      </c>
      <c r="C21" s="150">
        <v>244008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0">
        <f t="shared" si="0"/>
        <v>244008</v>
      </c>
    </row>
    <row r="22" spans="1:19" ht="60" x14ac:dyDescent="0.25">
      <c r="A22" s="146" t="s">
        <v>455</v>
      </c>
      <c r="B22" s="30" t="s">
        <v>459</v>
      </c>
      <c r="C22" s="145">
        <v>578523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0">
        <f t="shared" si="0"/>
        <v>578523</v>
      </c>
    </row>
    <row r="23" spans="1:19" ht="45" x14ac:dyDescent="0.25">
      <c r="A23" s="31" t="s">
        <v>455</v>
      </c>
      <c r="B23" s="30" t="s">
        <v>460</v>
      </c>
      <c r="C23" s="150">
        <v>13839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0">
        <f t="shared" si="0"/>
        <v>13839</v>
      </c>
    </row>
    <row r="24" spans="1:19" ht="45" x14ac:dyDescent="0.25">
      <c r="A24" s="31" t="s">
        <v>455</v>
      </c>
      <c r="B24" s="32" t="s">
        <v>461</v>
      </c>
      <c r="C24" s="150">
        <v>117000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10">
        <f t="shared" si="0"/>
        <v>117000</v>
      </c>
    </row>
    <row r="25" spans="1:19" ht="30" x14ac:dyDescent="0.25">
      <c r="A25" s="33" t="s">
        <v>455</v>
      </c>
      <c r="B25" s="30" t="s">
        <v>462</v>
      </c>
      <c r="C25" s="150">
        <v>59550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10">
        <f t="shared" si="0"/>
        <v>59550</v>
      </c>
    </row>
    <row r="26" spans="1:19" x14ac:dyDescent="0.25">
      <c r="A26" s="33" t="s">
        <v>455</v>
      </c>
      <c r="B26" s="30" t="s">
        <v>463</v>
      </c>
      <c r="C26" s="150">
        <v>156000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10">
        <f>SUM(C26:R26)</f>
        <v>156000</v>
      </c>
    </row>
    <row r="27" spans="1:19" x14ac:dyDescent="0.25">
      <c r="A27" s="33" t="s">
        <v>455</v>
      </c>
      <c r="B27" s="30" t="s">
        <v>464</v>
      </c>
      <c r="C27" s="145">
        <v>1062041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10">
        <f t="shared" si="0"/>
        <v>1062041</v>
      </c>
    </row>
    <row r="28" spans="1:19" ht="30" x14ac:dyDescent="0.25">
      <c r="A28" s="33" t="s">
        <v>455</v>
      </c>
      <c r="B28" s="30" t="s">
        <v>465</v>
      </c>
      <c r="C28" s="150">
        <v>51939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0">
        <f t="shared" si="0"/>
        <v>51939</v>
      </c>
    </row>
    <row r="29" spans="1:19" x14ac:dyDescent="0.25">
      <c r="A29" s="146" t="s">
        <v>466</v>
      </c>
      <c r="B29" s="30" t="s">
        <v>467</v>
      </c>
      <c r="C29" s="145">
        <v>6282296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10">
        <f t="shared" si="0"/>
        <v>6282296</v>
      </c>
    </row>
    <row r="30" spans="1:19" ht="90" x14ac:dyDescent="0.25">
      <c r="A30" s="146" t="s">
        <v>455</v>
      </c>
      <c r="B30" s="30" t="s">
        <v>468</v>
      </c>
      <c r="C30" s="145">
        <v>2320432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10">
        <f t="shared" si="0"/>
        <v>2320432</v>
      </c>
    </row>
    <row r="31" spans="1:19" ht="90" x14ac:dyDescent="0.25">
      <c r="A31" s="146" t="s">
        <v>455</v>
      </c>
      <c r="B31" s="30" t="s">
        <v>469</v>
      </c>
      <c r="C31" s="145">
        <v>419592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10">
        <f t="shared" si="0"/>
        <v>419592</v>
      </c>
    </row>
    <row r="32" spans="1:19" ht="75" x14ac:dyDescent="0.25">
      <c r="A32" s="146" t="s">
        <v>455</v>
      </c>
      <c r="B32" s="30" t="s">
        <v>470</v>
      </c>
      <c r="C32" s="145">
        <v>127858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0">
        <f t="shared" si="0"/>
        <v>127858</v>
      </c>
    </row>
    <row r="33" spans="1:19" x14ac:dyDescent="0.25">
      <c r="A33" s="146" t="s">
        <v>455</v>
      </c>
      <c r="B33" s="147" t="s">
        <v>471</v>
      </c>
      <c r="C33" s="145">
        <v>54550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0">
        <f t="shared" si="0"/>
        <v>54550</v>
      </c>
    </row>
    <row r="34" spans="1:19" x14ac:dyDescent="0.25">
      <c r="A34" s="146" t="s">
        <v>455</v>
      </c>
      <c r="B34" s="147" t="s">
        <v>472</v>
      </c>
      <c r="C34" s="145">
        <v>18100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0">
        <f t="shared" si="0"/>
        <v>18100</v>
      </c>
    </row>
    <row r="35" spans="1:19" ht="45" x14ac:dyDescent="0.25">
      <c r="A35" s="146" t="s">
        <v>455</v>
      </c>
      <c r="B35" s="147" t="s">
        <v>473</v>
      </c>
      <c r="C35" s="145">
        <f>8283+8283+8283</f>
        <v>24849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10">
        <f t="shared" si="0"/>
        <v>24849</v>
      </c>
    </row>
    <row r="36" spans="1:19" ht="45" x14ac:dyDescent="0.25">
      <c r="A36" s="31" t="s">
        <v>474</v>
      </c>
      <c r="B36" s="27" t="s">
        <v>475</v>
      </c>
      <c r="C36" s="150">
        <v>357000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10">
        <f>SUM(C36:R36)</f>
        <v>357000</v>
      </c>
    </row>
    <row r="37" spans="1:19" ht="34.5" customHeight="1" x14ac:dyDescent="0.25">
      <c r="A37" s="28" t="s">
        <v>476</v>
      </c>
      <c r="B37" s="145" t="s">
        <v>477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10">
        <f>SUM(C37:R37)</f>
        <v>0</v>
      </c>
    </row>
    <row r="38" spans="1:19" s="36" customFormat="1" x14ac:dyDescent="0.25">
      <c r="A38" s="29"/>
      <c r="B38" s="34" t="s">
        <v>478</v>
      </c>
      <c r="C38" s="35">
        <f>SUM(C10:C37)</f>
        <v>24101918</v>
      </c>
      <c r="D38" s="35">
        <f t="shared" ref="D38:S38" si="1">SUM(D10:D37)</f>
        <v>255050</v>
      </c>
      <c r="E38" s="35">
        <f t="shared" si="1"/>
        <v>18298</v>
      </c>
      <c r="F38" s="35">
        <f t="shared" si="1"/>
        <v>161940</v>
      </c>
      <c r="G38" s="35">
        <f t="shared" si="1"/>
        <v>5040</v>
      </c>
      <c r="H38" s="35">
        <f t="shared" si="1"/>
        <v>145390</v>
      </c>
      <c r="I38" s="35">
        <f t="shared" si="1"/>
        <v>12980</v>
      </c>
      <c r="J38" s="35">
        <f t="shared" si="1"/>
        <v>4105</v>
      </c>
      <c r="K38" s="35">
        <f t="shared" si="1"/>
        <v>21033</v>
      </c>
      <c r="L38" s="35">
        <f t="shared" si="1"/>
        <v>107598</v>
      </c>
      <c r="M38" s="35">
        <f t="shared" si="1"/>
        <v>258852</v>
      </c>
      <c r="N38" s="35">
        <f t="shared" si="1"/>
        <v>7433</v>
      </c>
      <c r="O38" s="35">
        <f t="shared" si="1"/>
        <v>33820</v>
      </c>
      <c r="P38" s="35">
        <f t="shared" si="1"/>
        <v>10300</v>
      </c>
      <c r="Q38" s="35">
        <f t="shared" si="1"/>
        <v>14190</v>
      </c>
      <c r="R38" s="35">
        <f t="shared" si="1"/>
        <v>5037</v>
      </c>
      <c r="S38" s="35">
        <f t="shared" si="1"/>
        <v>25162984</v>
      </c>
    </row>
    <row r="41" spans="1:19" x14ac:dyDescent="0.25">
      <c r="B41" s="38"/>
      <c r="S41" s="37"/>
    </row>
    <row r="43" spans="1:19" x14ac:dyDescent="0.25">
      <c r="R43" s="39"/>
      <c r="S43" s="37"/>
    </row>
    <row r="44" spans="1:19" x14ac:dyDescent="0.25">
      <c r="M44" s="37"/>
      <c r="P44" s="37"/>
    </row>
    <row r="45" spans="1:19" x14ac:dyDescent="0.25"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</sheetData>
  <mergeCells count="4">
    <mergeCell ref="Q1:S1"/>
    <mergeCell ref="O2:S2"/>
    <mergeCell ref="P3:S3"/>
    <mergeCell ref="P4:S4"/>
  </mergeCells>
  <pageMargins left="0.7" right="0.7" top="0.75" bottom="0.75" header="0.3" footer="0.3"/>
  <pageSetup paperSize="9" scale="4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X73"/>
  <sheetViews>
    <sheetView tabSelected="1" view="pageBreakPreview" topLeftCell="A43" zoomScaleNormal="100" zoomScaleSheetLayoutView="100" workbookViewId="0">
      <selection activeCell="W61" sqref="W61"/>
    </sheetView>
  </sheetViews>
  <sheetFormatPr defaultRowHeight="15" outlineLevelCol="1" x14ac:dyDescent="0.25"/>
  <cols>
    <col min="1" max="1" width="16.42578125" customWidth="1"/>
    <col min="2" max="3" width="7.140625" hidden="1" customWidth="1"/>
    <col min="4" max="4" width="46.140625" customWidth="1"/>
    <col min="5" max="5" width="18.85546875" hidden="1" customWidth="1" outlineLevel="1"/>
    <col min="6" max="6" width="16.85546875" customWidth="1" collapsed="1"/>
    <col min="7" max="7" width="10" hidden="1" customWidth="1"/>
    <col min="8" max="8" width="13" hidden="1" customWidth="1"/>
    <col min="9" max="11" width="9.140625" hidden="1" customWidth="1"/>
    <col min="12" max="12" width="10.5703125" hidden="1" customWidth="1"/>
    <col min="13" max="18" width="9.140625" hidden="1" customWidth="1"/>
    <col min="19" max="19" width="0" hidden="1" customWidth="1"/>
  </cols>
  <sheetData>
    <row r="1" spans="1:13" x14ac:dyDescent="0.25">
      <c r="A1" s="83"/>
      <c r="B1" s="83"/>
      <c r="C1" s="83"/>
      <c r="D1" s="83"/>
      <c r="E1" s="170"/>
      <c r="F1" s="170" t="s">
        <v>479</v>
      </c>
      <c r="G1" s="170"/>
      <c r="H1" s="170"/>
      <c r="I1" s="170"/>
      <c r="J1" s="170"/>
    </row>
    <row r="2" spans="1:13" x14ac:dyDescent="0.25">
      <c r="A2" s="170"/>
      <c r="B2" s="170"/>
      <c r="C2" s="170"/>
      <c r="D2" s="170"/>
      <c r="E2" s="170"/>
      <c r="F2" s="170" t="s">
        <v>1</v>
      </c>
      <c r="G2" s="170"/>
      <c r="H2" s="170"/>
      <c r="I2" s="170"/>
      <c r="J2" s="170"/>
    </row>
    <row r="3" spans="1:13" x14ac:dyDescent="0.25">
      <c r="A3" s="83"/>
      <c r="B3" s="83"/>
      <c r="C3" s="83"/>
      <c r="D3" s="84"/>
      <c r="E3" s="170"/>
      <c r="F3" s="170" t="s">
        <v>628</v>
      </c>
      <c r="G3" s="170"/>
      <c r="H3" s="170"/>
      <c r="I3" s="84"/>
      <c r="J3" s="84"/>
    </row>
    <row r="4" spans="1:13" x14ac:dyDescent="0.25">
      <c r="A4" s="83"/>
      <c r="B4" s="83"/>
      <c r="C4" s="83"/>
      <c r="D4" s="84"/>
      <c r="E4" s="170"/>
      <c r="F4" s="170" t="s">
        <v>629</v>
      </c>
      <c r="G4" s="170"/>
      <c r="H4" s="170"/>
      <c r="I4" s="84"/>
      <c r="J4" s="84"/>
    </row>
    <row r="5" spans="1:13" x14ac:dyDescent="0.25">
      <c r="A5" s="47"/>
      <c r="B5" s="47"/>
      <c r="C5" s="47"/>
      <c r="D5" s="48"/>
    </row>
    <row r="6" spans="1:13" ht="15.75" x14ac:dyDescent="0.25">
      <c r="A6" s="47"/>
      <c r="B6" s="47"/>
      <c r="C6" s="47"/>
      <c r="D6" s="49" t="s">
        <v>480</v>
      </c>
    </row>
    <row r="7" spans="1:13" x14ac:dyDescent="0.25">
      <c r="A7" s="50" t="s">
        <v>8</v>
      </c>
      <c r="B7" s="50"/>
      <c r="C7" s="50"/>
      <c r="D7" s="50" t="s">
        <v>481</v>
      </c>
      <c r="E7" s="50" t="s">
        <v>482</v>
      </c>
      <c r="F7" s="50" t="s">
        <v>483</v>
      </c>
      <c r="G7" s="119"/>
      <c r="H7" s="119"/>
    </row>
    <row r="8" spans="1:13" x14ac:dyDescent="0.25">
      <c r="A8" s="51"/>
      <c r="B8" s="85"/>
      <c r="C8" s="51"/>
      <c r="D8" s="87" t="s">
        <v>484</v>
      </c>
      <c r="E8" s="95">
        <f>E10+E9</f>
        <v>31946269</v>
      </c>
      <c r="F8" s="95">
        <f>F10+F9</f>
        <v>31682702</v>
      </c>
      <c r="G8" s="120"/>
      <c r="H8" s="120"/>
    </row>
    <row r="9" spans="1:13" x14ac:dyDescent="0.25">
      <c r="A9" s="51"/>
      <c r="B9" s="85"/>
      <c r="C9" s="51"/>
      <c r="D9" s="87" t="s">
        <v>485</v>
      </c>
      <c r="E9" s="151">
        <v>5878244</v>
      </c>
      <c r="F9" s="143">
        <v>6519718</v>
      </c>
      <c r="G9" s="88"/>
      <c r="H9" s="88">
        <f>F9-E9</f>
        <v>641474</v>
      </c>
      <c r="K9" s="88" t="s">
        <v>486</v>
      </c>
      <c r="L9">
        <f>E9-F9</f>
        <v>-641474</v>
      </c>
    </row>
    <row r="10" spans="1:13" x14ac:dyDescent="0.25">
      <c r="A10" s="51"/>
      <c r="B10" s="85"/>
      <c r="C10" s="51"/>
      <c r="D10" s="93" t="s">
        <v>487</v>
      </c>
      <c r="E10" s="95">
        <f>E11+E15+E16+E17+E18+E19+E20+E23+E24</f>
        <v>26068025</v>
      </c>
      <c r="F10" s="95">
        <f>F11+F15+F16+F17+F18+F19+F20+F23+F24</f>
        <v>25162984</v>
      </c>
      <c r="G10" s="121"/>
      <c r="H10" s="121">
        <f>F10-E10</f>
        <v>-905041</v>
      </c>
      <c r="K10" s="88" t="s">
        <v>486</v>
      </c>
      <c r="L10" s="106">
        <f>E10-F10</f>
        <v>905041</v>
      </c>
    </row>
    <row r="11" spans="1:13" x14ac:dyDescent="0.25">
      <c r="A11" s="51"/>
      <c r="B11" s="85"/>
      <c r="C11" s="51"/>
      <c r="D11" s="87" t="s">
        <v>488</v>
      </c>
      <c r="E11" s="142">
        <f>SUM(E12:E14)</f>
        <v>12307897</v>
      </c>
      <c r="F11" s="142">
        <f>SUM(F12:F14)</f>
        <v>11823491</v>
      </c>
      <c r="G11" s="120"/>
      <c r="H11" s="165">
        <f>F11-E11</f>
        <v>-484406</v>
      </c>
      <c r="L11" s="108">
        <f>F11/F10</f>
        <v>0.46987634693882091</v>
      </c>
    </row>
    <row r="12" spans="1:13" x14ac:dyDescent="0.25">
      <c r="A12" s="51" t="s">
        <v>489</v>
      </c>
      <c r="B12" s="146" t="s">
        <v>453</v>
      </c>
      <c r="C12" s="143"/>
      <c r="D12" s="138" t="s">
        <v>454</v>
      </c>
      <c r="E12" s="143">
        <v>11054274</v>
      </c>
      <c r="F12" s="143">
        <f>SUMIF('Ieņēmumi (Pielikums Nr.2)'!$A$10:$A$37,'Kopsavilkums (Pielikums Nr.3)'!B12,'Ieņēmumi (Pielikums Nr.2)'!$S$10:$S$37)</f>
        <v>10573284</v>
      </c>
      <c r="G12" s="88"/>
      <c r="H12" s="165">
        <f t="shared" ref="H12:H24" si="0">F12-E12</f>
        <v>-480990</v>
      </c>
      <c r="I12" s="164"/>
      <c r="K12" s="88" t="s">
        <v>486</v>
      </c>
      <c r="L12">
        <f>E12-F12</f>
        <v>480990</v>
      </c>
      <c r="M12" s="107">
        <f>F12/F10</f>
        <v>0.42019197723131724</v>
      </c>
    </row>
    <row r="13" spans="1:13" x14ac:dyDescent="0.25">
      <c r="A13" s="85" t="s">
        <v>490</v>
      </c>
      <c r="B13" s="171" t="s">
        <v>198</v>
      </c>
      <c r="C13" s="143"/>
      <c r="D13" s="138" t="s">
        <v>440</v>
      </c>
      <c r="E13" s="143">
        <v>1235623</v>
      </c>
      <c r="F13" s="143">
        <f>SUMIF('Ieņēmumi (Pielikums Nr.2)'!$A$10:$A$37,'Kopsavilkums (Pielikums Nr.3)'!B13,'Ieņēmumi (Pielikums Nr.2)'!$S$10:$S$37)</f>
        <v>1230207</v>
      </c>
      <c r="G13" s="88"/>
      <c r="H13" s="165">
        <f t="shared" si="0"/>
        <v>-5416</v>
      </c>
      <c r="K13" s="88" t="s">
        <v>486</v>
      </c>
      <c r="L13">
        <f>E13-F13</f>
        <v>5416</v>
      </c>
    </row>
    <row r="14" spans="1:13" x14ac:dyDescent="0.25">
      <c r="A14" s="85" t="s">
        <v>491</v>
      </c>
      <c r="B14" s="171" t="s">
        <v>441</v>
      </c>
      <c r="C14" s="143"/>
      <c r="D14" s="138" t="s">
        <v>442</v>
      </c>
      <c r="E14" s="143">
        <v>18000</v>
      </c>
      <c r="F14" s="143">
        <f>SUMIF('Ieņēmumi (Pielikums Nr.2)'!$A$10:$A$37,'Kopsavilkums (Pielikums Nr.3)'!B14,'Ieņēmumi (Pielikums Nr.2)'!$S$10:$S$37)</f>
        <v>20000</v>
      </c>
      <c r="G14" s="88"/>
      <c r="H14" s="165">
        <f t="shared" si="0"/>
        <v>2000</v>
      </c>
      <c r="K14" s="88" t="s">
        <v>486</v>
      </c>
      <c r="L14">
        <f>F14-E14</f>
        <v>2000</v>
      </c>
    </row>
    <row r="15" spans="1:13" x14ac:dyDescent="0.25">
      <c r="A15" s="86" t="s">
        <v>492</v>
      </c>
      <c r="B15" s="171" t="s">
        <v>156</v>
      </c>
      <c r="C15" s="143"/>
      <c r="D15" s="100" t="s">
        <v>493</v>
      </c>
      <c r="E15" s="142">
        <v>2111</v>
      </c>
      <c r="F15" s="142">
        <f>SUMIF('Ieņēmumi (Pielikums Nr.2)'!$A$10:$A$37,'Kopsavilkums (Pielikums Nr.3)'!B15,'Ieņēmumi (Pielikums Nr.2)'!$S$10:$S$37)</f>
        <v>2331</v>
      </c>
      <c r="G15" s="120"/>
      <c r="H15" s="165">
        <f t="shared" si="0"/>
        <v>220</v>
      </c>
      <c r="K15" s="88" t="s">
        <v>494</v>
      </c>
      <c r="L15">
        <f>F15+F16+F17+F18</f>
        <v>32241</v>
      </c>
    </row>
    <row r="16" spans="1:13" x14ac:dyDescent="0.25">
      <c r="A16" s="85" t="s">
        <v>495</v>
      </c>
      <c r="B16" s="94" t="s">
        <v>444</v>
      </c>
      <c r="C16" s="146" t="s">
        <v>93</v>
      </c>
      <c r="D16" s="52" t="s">
        <v>496</v>
      </c>
      <c r="E16" s="142">
        <v>26389</v>
      </c>
      <c r="F16" s="131">
        <f>SUMIF('Ieņēmumi (Pielikums Nr.2)'!A3:A27,'Kopsavilkums (Pielikums Nr.3)'!B16,'Ieņēmumi (Pielikums Nr.2)'!S3:S27)+SUMIF('Ieņēmumi (Pielikums Nr.2)'!A3:A27,'Kopsavilkums (Pielikums Nr.3)'!C16,'Ieņēmumi (Pielikums Nr.2)'!S3:S27)</f>
        <v>14255</v>
      </c>
      <c r="G16" s="120"/>
      <c r="H16" s="165">
        <f t="shared" si="0"/>
        <v>-12134</v>
      </c>
      <c r="K16" s="88"/>
    </row>
    <row r="17" spans="1:14" x14ac:dyDescent="0.25">
      <c r="A17" s="85" t="s">
        <v>497</v>
      </c>
      <c r="B17" s="146" t="s">
        <v>447</v>
      </c>
      <c r="C17" s="51"/>
      <c r="D17" s="52" t="s">
        <v>498</v>
      </c>
      <c r="E17" s="142">
        <v>3000</v>
      </c>
      <c r="F17" s="142">
        <f>SUMIF('Ieņēmumi (Pielikums Nr.2)'!$A$10:$A$37,'Kopsavilkums (Pielikums Nr.3)'!B17,'Ieņēmumi (Pielikums Nr.2)'!$S$10:$S$37)</f>
        <v>2000</v>
      </c>
      <c r="G17" s="120"/>
      <c r="H17" s="165">
        <f t="shared" si="0"/>
        <v>-1000</v>
      </c>
      <c r="K17" s="88"/>
    </row>
    <row r="18" spans="1:14" x14ac:dyDescent="0.25">
      <c r="A18" s="85" t="s">
        <v>499</v>
      </c>
      <c r="B18" s="146" t="s">
        <v>449</v>
      </c>
      <c r="C18" s="51"/>
      <c r="D18" s="52" t="s">
        <v>500</v>
      </c>
      <c r="E18" s="142">
        <v>12950</v>
      </c>
      <c r="F18" s="142">
        <f>SUMIF('Ieņēmumi (Pielikums Nr.2)'!$A$10:$A$37,'Kopsavilkums (Pielikums Nr.3)'!B18,'Ieņēmumi (Pielikums Nr.2)'!$S$10:$S$37)</f>
        <v>13655</v>
      </c>
      <c r="G18" s="120"/>
      <c r="H18" s="165">
        <f t="shared" si="0"/>
        <v>705</v>
      </c>
      <c r="K18" s="88"/>
    </row>
    <row r="19" spans="1:14" x14ac:dyDescent="0.25">
      <c r="A19" s="51" t="s">
        <v>501</v>
      </c>
      <c r="B19" s="146" t="s">
        <v>502</v>
      </c>
      <c r="C19" s="51"/>
      <c r="D19" s="52" t="s">
        <v>503</v>
      </c>
      <c r="E19" s="142"/>
      <c r="F19" s="142">
        <f>SUMIF('Ieņēmumi (Pielikums Nr.2)'!$A$10:$A$37,'Kopsavilkums (Pielikums Nr.3)'!B19,'Ieņēmumi (Pielikums Nr.2)'!$S$10:$S$37)</f>
        <v>0</v>
      </c>
      <c r="G19" s="120"/>
      <c r="H19" s="165">
        <f t="shared" si="0"/>
        <v>0</v>
      </c>
      <c r="K19" s="88"/>
    </row>
    <row r="20" spans="1:14" x14ac:dyDescent="0.25">
      <c r="A20" s="51" t="s">
        <v>504</v>
      </c>
      <c r="B20" s="85"/>
      <c r="C20" s="51"/>
      <c r="D20" s="52" t="s">
        <v>505</v>
      </c>
      <c r="E20" s="142">
        <f>SUM(E21:E22)</f>
        <v>12055285</v>
      </c>
      <c r="F20" s="142">
        <f>SUM(F21:F22)</f>
        <v>11941427</v>
      </c>
      <c r="G20" s="120"/>
      <c r="H20" s="165">
        <f t="shared" si="0"/>
        <v>-113858</v>
      </c>
      <c r="K20" s="88"/>
    </row>
    <row r="21" spans="1:14" ht="30" x14ac:dyDescent="0.25">
      <c r="A21" s="54" t="s">
        <v>506</v>
      </c>
      <c r="B21" s="171" t="s">
        <v>466</v>
      </c>
      <c r="C21" s="143"/>
      <c r="D21" s="139" t="s">
        <v>507</v>
      </c>
      <c r="E21" s="143">
        <v>6740370</v>
      </c>
      <c r="F21" s="143">
        <f>SUMIF('Ieņēmumi (Pielikums Nr.2)'!$A$10:$A$37,'Kopsavilkums (Pielikums Nr.3)'!B21,'Ieņēmumi (Pielikums Nr.2)'!$S$10:$S$37)</f>
        <v>6282296</v>
      </c>
      <c r="G21" s="88"/>
      <c r="H21" s="165">
        <f t="shared" si="0"/>
        <v>-458074</v>
      </c>
      <c r="K21" s="88"/>
    </row>
    <row r="22" spans="1:14" ht="30" x14ac:dyDescent="0.25">
      <c r="A22" s="54" t="s">
        <v>508</v>
      </c>
      <c r="B22" s="171" t="s">
        <v>455</v>
      </c>
      <c r="C22" s="143"/>
      <c r="D22" s="137" t="s">
        <v>509</v>
      </c>
      <c r="E22" s="143">
        <v>5314915</v>
      </c>
      <c r="F22" s="143">
        <f>SUMIF('Ieņēmumi (Pielikums Nr.2)'!$A$10:$A$37,'Kopsavilkums (Pielikums Nr.3)'!B22,'Ieņēmumi (Pielikums Nr.2)'!$S$10:$S$37)</f>
        <v>5659131</v>
      </c>
      <c r="G22" s="88"/>
      <c r="H22" s="165">
        <f t="shared" si="0"/>
        <v>344216</v>
      </c>
      <c r="K22" s="88"/>
    </row>
    <row r="23" spans="1:14" x14ac:dyDescent="0.25">
      <c r="A23" s="51" t="s">
        <v>510</v>
      </c>
      <c r="B23" s="94" t="s">
        <v>476</v>
      </c>
      <c r="C23" s="94" t="s">
        <v>474</v>
      </c>
      <c r="D23" s="87" t="s">
        <v>511</v>
      </c>
      <c r="E23" s="95">
        <v>407000</v>
      </c>
      <c r="F23" s="131">
        <f>SUMIF('Ieņēmumi (Pielikums Nr.2)'!A10:A37,'Kopsavilkums (Pielikums Nr.3)'!B23,'Ieņēmumi (Pielikums Nr.2)'!S10:S37)+SUMIF('Ieņēmumi (Pielikums Nr.2)'!A10:A37,'Kopsavilkums (Pielikums Nr.3)'!C23,'Ieņēmumi (Pielikums Nr.2)'!S10:S37)</f>
        <v>357000</v>
      </c>
      <c r="G23" s="122"/>
      <c r="H23" s="165">
        <f t="shared" si="0"/>
        <v>-50000</v>
      </c>
      <c r="K23" s="110">
        <f>F23/F10</f>
        <v>1.4187506537380464E-2</v>
      </c>
    </row>
    <row r="24" spans="1:14" x14ac:dyDescent="0.25">
      <c r="A24" s="51" t="s">
        <v>512</v>
      </c>
      <c r="B24" s="146" t="s">
        <v>451</v>
      </c>
      <c r="C24" s="143"/>
      <c r="D24" s="90" t="s">
        <v>513</v>
      </c>
      <c r="E24" s="142">
        <v>1253393</v>
      </c>
      <c r="F24" s="142">
        <f>SUMIF('Ieņēmumi (Pielikums Nr.2)'!$A$10:$A$37,'Kopsavilkums (Pielikums Nr.3)'!B24,'Ieņēmumi (Pielikums Nr.2)'!$S$10:$S$37)</f>
        <v>1008825</v>
      </c>
      <c r="G24" s="120"/>
      <c r="H24" s="165">
        <f t="shared" si="0"/>
        <v>-244568</v>
      </c>
      <c r="K24" s="109">
        <f>F24/F10</f>
        <v>4.0091628242500968E-2</v>
      </c>
    </row>
    <row r="25" spans="1:14" x14ac:dyDescent="0.25">
      <c r="A25" s="51"/>
      <c r="B25" s="85"/>
      <c r="C25" s="51"/>
      <c r="D25" s="89"/>
      <c r="E25" s="143"/>
      <c r="F25" s="143"/>
      <c r="G25" s="88"/>
      <c r="H25" s="88"/>
    </row>
    <row r="26" spans="1:14" x14ac:dyDescent="0.25">
      <c r="A26" s="51"/>
      <c r="B26" s="85"/>
      <c r="C26" s="51"/>
      <c r="D26" s="91" t="s">
        <v>514</v>
      </c>
      <c r="E26" s="143"/>
      <c r="F26" s="151"/>
      <c r="G26" s="88"/>
      <c r="H26" s="88"/>
    </row>
    <row r="27" spans="1:14" x14ac:dyDescent="0.25">
      <c r="A27" s="57" t="s">
        <v>515</v>
      </c>
      <c r="B27" s="92"/>
      <c r="C27" s="57"/>
      <c r="D27" s="90" t="s">
        <v>516</v>
      </c>
      <c r="E27" s="142">
        <f>SUM(E28:E31)</f>
        <v>2827291</v>
      </c>
      <c r="F27" s="144">
        <f>SUM(F28:F31)</f>
        <v>2937965</v>
      </c>
      <c r="G27" s="120"/>
      <c r="H27" s="168"/>
      <c r="I27" s="120"/>
      <c r="J27" s="120"/>
      <c r="N27" s="107">
        <f>F27/$F$70</f>
        <v>0.10784531127379787</v>
      </c>
    </row>
    <row r="28" spans="1:14" ht="30" x14ac:dyDescent="0.25">
      <c r="A28" s="51" t="s">
        <v>57</v>
      </c>
      <c r="B28" s="85"/>
      <c r="C28" s="51"/>
      <c r="D28" s="136" t="s">
        <v>517</v>
      </c>
      <c r="E28" s="143">
        <v>2710025</v>
      </c>
      <c r="F28" s="151">
        <f>SUMIF('Izdevumi (Pielikums Nr.1)'!$C$8:$C$561,'Kopsavilkums (Pielikums Nr.3)'!A28,'Izdevumi (Pielikums Nr.1)'!$AQ$8:$AQ$561)+SUMIF('algu apr.'!$C$8:$C$558,'Kopsavilkums (Pielikums Nr.3)'!A28,'algu apr.'!$F$8:$F$558)+SUMIF('algu apr.'!$C$8:$C$558,'Kopsavilkums (Pielikums Nr.3)'!A28,'algu apr.'!$G$8:$G$558)</f>
        <v>2821849</v>
      </c>
      <c r="G28" s="88"/>
      <c r="H28" s="124"/>
      <c r="I28" s="125"/>
      <c r="J28" s="125"/>
      <c r="K28" s="42"/>
      <c r="L28" s="42"/>
      <c r="M28" s="42"/>
      <c r="N28" s="107"/>
    </row>
    <row r="29" spans="1:14" ht="30" x14ac:dyDescent="0.25">
      <c r="A29" s="51" t="s">
        <v>518</v>
      </c>
      <c r="B29" s="85"/>
      <c r="C29" s="51"/>
      <c r="D29" s="137" t="s">
        <v>519</v>
      </c>
      <c r="E29" s="143">
        <v>0</v>
      </c>
      <c r="F29" s="151">
        <f>SUMIF('Izdevumi (Pielikums Nr.1)'!$C$8:$C$561,'Kopsavilkums (Pielikums Nr.3)'!A29,'Izdevumi (Pielikums Nr.1)'!$AQ$8:$AQ$561)+SUMIF('algu apr.'!$C$8:$C$558,'Kopsavilkums (Pielikums Nr.3)'!A29,'algu apr.'!$F$8:$F$558)+SUMIF('algu apr.'!$C$8:$C$558,'Kopsavilkums (Pielikums Nr.3)'!A29,'algu apr.'!$G$8:$G$558)</f>
        <v>0</v>
      </c>
      <c r="G29" s="88"/>
      <c r="H29" s="120"/>
      <c r="K29" s="42"/>
      <c r="L29" s="42"/>
      <c r="M29" s="42"/>
      <c r="N29" s="107"/>
    </row>
    <row r="30" spans="1:14" ht="30" x14ac:dyDescent="0.25">
      <c r="A30" s="51" t="s">
        <v>401</v>
      </c>
      <c r="B30" s="51"/>
      <c r="C30" s="51"/>
      <c r="D30" s="138" t="s">
        <v>520</v>
      </c>
      <c r="E30" s="143">
        <v>58221</v>
      </c>
      <c r="F30" s="151">
        <f>SUMIF('Izdevumi (Pielikums Nr.1)'!$C$8:$C$561,'Kopsavilkums (Pielikums Nr.3)'!A30,'Izdevumi (Pielikums Nr.1)'!$AQ$8:$AQ$561)+SUMIF('algu apr.'!$C$8:$C$558,'Kopsavilkums (Pielikums Nr.3)'!A30,'algu apr.'!$F$8:$F$558)+SUMIF('algu apr.'!$C$8:$C$558,'Kopsavilkums (Pielikums Nr.3)'!A30,'algu apr.'!$G$8:$G$558)</f>
        <v>116116</v>
      </c>
      <c r="G30" s="88"/>
      <c r="H30" s="120"/>
      <c r="K30" s="42"/>
      <c r="L30" s="42"/>
      <c r="M30" s="42"/>
      <c r="N30" s="107"/>
    </row>
    <row r="31" spans="1:14" ht="30" x14ac:dyDescent="0.25">
      <c r="A31" s="51" t="s">
        <v>521</v>
      </c>
      <c r="B31" s="51"/>
      <c r="C31" s="51"/>
      <c r="D31" s="138" t="s">
        <v>522</v>
      </c>
      <c r="E31" s="143">
        <v>59045</v>
      </c>
      <c r="F31" s="151">
        <f>SUMIF('Izdevumi (Pielikums Nr.1)'!$C$8:$C$561,'Kopsavilkums (Pielikums Nr.3)'!A31,'Izdevumi (Pielikums Nr.1)'!$AQ$8:$AQ$561)+SUMIF('algu apr.'!$C$8:$C$558,'Kopsavilkums (Pielikums Nr.3)'!A31,'algu apr.'!$F$8:$F$558)+SUMIF('algu apr.'!$C$8:$C$558,'Kopsavilkums (Pielikums Nr.3)'!A31,'algu apr.'!$G$8:$G$558)</f>
        <v>0</v>
      </c>
      <c r="G31" s="88"/>
      <c r="H31" s="120"/>
      <c r="K31" s="42"/>
      <c r="L31" s="42"/>
      <c r="M31" s="42"/>
      <c r="N31" s="107"/>
    </row>
    <row r="32" spans="1:14" x14ac:dyDescent="0.25">
      <c r="A32" s="57" t="s">
        <v>523</v>
      </c>
      <c r="B32" s="57"/>
      <c r="C32" s="57"/>
      <c r="D32" s="56" t="s">
        <v>524</v>
      </c>
      <c r="E32" s="142">
        <f>SUM(E33:E35)</f>
        <v>1329</v>
      </c>
      <c r="F32" s="144">
        <f>SUM(F33:F35)</f>
        <v>368</v>
      </c>
      <c r="G32" s="120"/>
      <c r="H32" s="120"/>
      <c r="K32" s="42"/>
      <c r="L32" s="42"/>
      <c r="M32" s="42"/>
      <c r="N32" s="107">
        <f t="shared" ref="N32:N68" si="1">F32/$F$70</f>
        <v>1.3508355119532608E-5</v>
      </c>
    </row>
    <row r="33" spans="1:14" x14ac:dyDescent="0.25">
      <c r="A33" s="51" t="s">
        <v>525</v>
      </c>
      <c r="B33" s="51"/>
      <c r="C33" s="51"/>
      <c r="D33" s="140" t="s">
        <v>526</v>
      </c>
      <c r="E33" s="143">
        <v>400</v>
      </c>
      <c r="F33" s="151">
        <f>SUMIF('Izdevumi (Pielikums Nr.1)'!$C$8:$C$561,'Kopsavilkums (Pielikums Nr.3)'!A33,'Izdevumi (Pielikums Nr.1)'!$AQ$8:$AQ$561)+SUMIF('algu apr.'!$C$8:$C$558,'Kopsavilkums (Pielikums Nr.3)'!A33,'algu apr.'!$F$8:$F$558)+SUMIF('algu apr.'!$C$8:$C$558,'Kopsavilkums (Pielikums Nr.3)'!A33,'algu apr.'!$G$8:$G$558)</f>
        <v>0</v>
      </c>
      <c r="G33" s="88"/>
      <c r="H33" s="88"/>
      <c r="K33" s="42"/>
      <c r="L33" s="42"/>
      <c r="M33" s="42"/>
      <c r="N33" s="107"/>
    </row>
    <row r="34" spans="1:14" ht="30" x14ac:dyDescent="0.25">
      <c r="A34" s="51" t="s">
        <v>268</v>
      </c>
      <c r="B34" s="51"/>
      <c r="C34" s="51"/>
      <c r="D34" s="138" t="s">
        <v>527</v>
      </c>
      <c r="E34" s="143">
        <v>218</v>
      </c>
      <c r="F34" s="151">
        <f>SUMIF('Izdevumi (Pielikums Nr.1)'!$C$8:$C$561,'Kopsavilkums (Pielikums Nr.3)'!A34,'Izdevumi (Pielikums Nr.1)'!$AQ$8:$AQ$561)+SUMIF('algu apr.'!$C$8:$C$558,'Kopsavilkums (Pielikums Nr.3)'!A34,'algu apr.'!$F$8:$F$558)+SUMIF('algu apr.'!$C$8:$C$558,'Kopsavilkums (Pielikums Nr.3)'!A34,'algu apr.'!$G$8:$G$558)</f>
        <v>218</v>
      </c>
      <c r="G34" s="88"/>
      <c r="H34" s="88"/>
      <c r="K34" s="42"/>
      <c r="L34" s="42"/>
      <c r="M34" s="42"/>
      <c r="N34" s="107"/>
    </row>
    <row r="35" spans="1:14" ht="30" x14ac:dyDescent="0.25">
      <c r="A35" s="51" t="s">
        <v>152</v>
      </c>
      <c r="B35" s="51"/>
      <c r="C35" s="51"/>
      <c r="D35" s="138" t="s">
        <v>528</v>
      </c>
      <c r="E35" s="143">
        <v>711</v>
      </c>
      <c r="F35" s="151">
        <f>SUMIF('Izdevumi (Pielikums Nr.1)'!$C$8:$C$561,'Kopsavilkums (Pielikums Nr.3)'!A35,'Izdevumi (Pielikums Nr.1)'!$AQ$8:$AQ$561)+SUMIF('algu apr.'!$C$8:$C$558,'Kopsavilkums (Pielikums Nr.3)'!A35,'algu apr.'!$F$8:$F$558)+SUMIF('algu apr.'!$C$8:$C$558,'Kopsavilkums (Pielikums Nr.3)'!A35,'algu apr.'!$G$8:$G$558)</f>
        <v>150</v>
      </c>
      <c r="G35" s="88"/>
      <c r="H35" s="88"/>
      <c r="K35" s="42"/>
      <c r="L35" s="42"/>
      <c r="M35" s="42"/>
      <c r="N35" s="107"/>
    </row>
    <row r="36" spans="1:14" x14ac:dyDescent="0.25">
      <c r="A36" s="57" t="s">
        <v>529</v>
      </c>
      <c r="B36" s="57"/>
      <c r="C36" s="57"/>
      <c r="D36" s="56" t="s">
        <v>530</v>
      </c>
      <c r="E36" s="142">
        <f>SUM(E37:E40)</f>
        <v>382930</v>
      </c>
      <c r="F36" s="144">
        <f>SUM(F37:F40)</f>
        <v>301130</v>
      </c>
      <c r="G36" s="120"/>
      <c r="H36" s="120"/>
      <c r="K36" s="42"/>
      <c r="L36" s="42"/>
      <c r="M36" s="42"/>
      <c r="N36" s="107">
        <f t="shared" si="1"/>
        <v>1.1053725481371887E-2</v>
      </c>
    </row>
    <row r="37" spans="1:14" ht="30" x14ac:dyDescent="0.25">
      <c r="A37" s="51" t="s">
        <v>198</v>
      </c>
      <c r="B37" s="51"/>
      <c r="C37" s="51"/>
      <c r="D37" s="53" t="s">
        <v>531</v>
      </c>
      <c r="E37" s="143">
        <v>117680</v>
      </c>
      <c r="F37" s="151">
        <f>SUMIF('Izdevumi (Pielikums Nr.1)'!$C$8:$C$561,'Kopsavilkums (Pielikums Nr.3)'!A37,'Izdevumi (Pielikums Nr.1)'!$AQ$8:$AQ$561)+SUMIF('algu apr.'!$C$8:$C$558,'Kopsavilkums (Pielikums Nr.3)'!A37,'algu apr.'!$F$8:$F$558)+SUMIF('algu apr.'!$C$8:$C$558,'Kopsavilkums (Pielikums Nr.3)'!A37,'algu apr.'!$G$8:$G$558)</f>
        <v>117670</v>
      </c>
      <c r="G37" s="88"/>
      <c r="H37" s="88"/>
      <c r="K37" s="42"/>
      <c r="L37" s="42"/>
      <c r="M37" s="42"/>
      <c r="N37" s="107"/>
    </row>
    <row r="38" spans="1:14" ht="30" x14ac:dyDescent="0.25">
      <c r="A38" s="51" t="s">
        <v>399</v>
      </c>
      <c r="B38" s="51"/>
      <c r="C38" s="51"/>
      <c r="D38" s="53" t="s">
        <v>532</v>
      </c>
      <c r="E38" s="143">
        <v>2300</v>
      </c>
      <c r="F38" s="151">
        <f>SUMIF('Izdevumi (Pielikums Nr.1)'!$C$8:$C$561,'Kopsavilkums (Pielikums Nr.3)'!A38,'Izdevumi (Pielikums Nr.1)'!$AQ$8:$AQ$561)+SUMIF('algu apr.'!$C$8:$C$558,'Kopsavilkums (Pielikums Nr.3)'!A38,'algu apr.'!$F$8:$F$558)+SUMIF('algu apr.'!$C$8:$C$558,'Kopsavilkums (Pielikums Nr.3)'!A38,'algu apr.'!$G$8:$G$558)</f>
        <v>1000</v>
      </c>
      <c r="G38" s="88"/>
      <c r="H38" s="88"/>
      <c r="K38" s="42"/>
      <c r="L38" s="42"/>
      <c r="M38" s="42"/>
      <c r="N38" s="107"/>
    </row>
    <row r="39" spans="1:14" x14ac:dyDescent="0.25">
      <c r="A39" s="58" t="s">
        <v>379</v>
      </c>
      <c r="B39" s="58"/>
      <c r="C39" s="58"/>
      <c r="D39" s="53" t="s">
        <v>533</v>
      </c>
      <c r="E39" s="143">
        <v>117200</v>
      </c>
      <c r="F39" s="151">
        <f>SUMIF('Izdevumi (Pielikums Nr.1)'!$C$8:$C$561,'Kopsavilkums (Pielikums Nr.3)'!A39,'Izdevumi (Pielikums Nr.1)'!$AQ$8:$AQ$561)+SUMIF('algu apr.'!$C$8:$C$558,'Kopsavilkums (Pielikums Nr.3)'!A39,'algu apr.'!$F$8:$F$558)+SUMIF('algu apr.'!$C$8:$C$558,'Kopsavilkums (Pielikums Nr.3)'!A39,'algu apr.'!$G$8:$G$558)</f>
        <v>63410</v>
      </c>
      <c r="G39" s="88"/>
      <c r="H39" s="88"/>
      <c r="K39" s="42"/>
      <c r="L39" s="42"/>
      <c r="M39" s="42"/>
      <c r="N39" s="107"/>
    </row>
    <row r="40" spans="1:14" x14ac:dyDescent="0.25">
      <c r="A40" s="58" t="s">
        <v>407</v>
      </c>
      <c r="B40" s="58"/>
      <c r="C40" s="58"/>
      <c r="D40" s="53" t="s">
        <v>534</v>
      </c>
      <c r="E40" s="143">
        <v>145750</v>
      </c>
      <c r="F40" s="151">
        <f>SUMIF('Izdevumi (Pielikums Nr.1)'!$C$8:$C$561,'Kopsavilkums (Pielikums Nr.3)'!A40,'Izdevumi (Pielikums Nr.1)'!$AQ$8:$AQ$561)+SUMIF('algu apr.'!$C$8:$C$558,'Kopsavilkums (Pielikums Nr.3)'!A40,'algu apr.'!$F$8:$F$558)+SUMIF('algu apr.'!$C$8:$C$558,'Kopsavilkums (Pielikums Nr.3)'!A40,'algu apr.'!$G$8:$G$558)</f>
        <v>119050</v>
      </c>
      <c r="G40" s="88"/>
      <c r="H40" s="88"/>
      <c r="K40" s="42"/>
      <c r="L40" s="42"/>
      <c r="M40" s="42"/>
      <c r="N40" s="107"/>
    </row>
    <row r="41" spans="1:14" x14ac:dyDescent="0.25">
      <c r="A41" s="57" t="s">
        <v>535</v>
      </c>
      <c r="B41" s="57"/>
      <c r="C41" s="57"/>
      <c r="D41" s="56" t="s">
        <v>536</v>
      </c>
      <c r="E41" s="142">
        <f>SUM(E42:E45)</f>
        <v>950</v>
      </c>
      <c r="F41" s="144">
        <f>SUM(F42:F45)</f>
        <v>300</v>
      </c>
      <c r="G41" s="120"/>
      <c r="H41" s="120"/>
      <c r="K41" s="42"/>
      <c r="L41" s="42"/>
      <c r="M41" s="42"/>
      <c r="N41" s="107">
        <f t="shared" si="1"/>
        <v>1.1012246021358104E-5</v>
      </c>
    </row>
    <row r="42" spans="1:14" x14ac:dyDescent="0.25">
      <c r="A42" s="51" t="s">
        <v>537</v>
      </c>
      <c r="B42" s="51"/>
      <c r="C42" s="51"/>
      <c r="D42" s="51" t="s">
        <v>538</v>
      </c>
      <c r="E42" s="143">
        <v>0</v>
      </c>
      <c r="F42" s="151">
        <f>SUMIF('Izdevumi (Pielikums Nr.1)'!$C$8:$C$561,'Kopsavilkums (Pielikums Nr.3)'!A42,'Izdevumi (Pielikums Nr.1)'!$AQ$8:$AQ$561)+SUMIF('algu apr.'!$C$8:$C$558,'Kopsavilkums (Pielikums Nr.3)'!A42,'algu apr.'!$F$8:$F$558)+SUMIF('algu apr.'!$C$8:$C$558,'Kopsavilkums (Pielikums Nr.3)'!A42,'algu apr.'!$G$8:$G$558)</f>
        <v>0</v>
      </c>
      <c r="G42" s="88"/>
      <c r="H42" s="88"/>
      <c r="K42" s="42"/>
      <c r="L42" s="42"/>
      <c r="M42" s="42"/>
      <c r="N42" s="107"/>
    </row>
    <row r="43" spans="1:14" x14ac:dyDescent="0.25">
      <c r="A43" s="51" t="s">
        <v>539</v>
      </c>
      <c r="B43" s="51"/>
      <c r="C43" s="51"/>
      <c r="D43" s="51" t="s">
        <v>540</v>
      </c>
      <c r="E43" s="143">
        <v>0</v>
      </c>
      <c r="F43" s="151">
        <f>SUMIF('Izdevumi (Pielikums Nr.1)'!$C$8:$C$561,'Kopsavilkums (Pielikums Nr.3)'!A43,'Izdevumi (Pielikums Nr.1)'!$AQ$8:$AQ$561)+SUMIF('algu apr.'!$C$8:$C$558,'Kopsavilkums (Pielikums Nr.3)'!A43,'algu apr.'!$F$8:$F$558)+SUMIF('algu apr.'!$C$8:$C$558,'Kopsavilkums (Pielikums Nr.3)'!A43,'algu apr.'!$G$8:$G$558)</f>
        <v>0</v>
      </c>
      <c r="G43" s="88"/>
      <c r="H43" s="88"/>
      <c r="K43" s="42"/>
      <c r="L43" s="42"/>
      <c r="M43" s="42"/>
      <c r="N43" s="107"/>
    </row>
    <row r="44" spans="1:14" ht="30" x14ac:dyDescent="0.25">
      <c r="A44" s="51" t="s">
        <v>173</v>
      </c>
      <c r="B44" s="51"/>
      <c r="C44" s="51"/>
      <c r="D44" s="53" t="s">
        <v>541</v>
      </c>
      <c r="E44" s="143">
        <v>0</v>
      </c>
      <c r="F44" s="151">
        <f>SUMIF('Izdevumi (Pielikums Nr.1)'!$C$8:$C$561,'Kopsavilkums (Pielikums Nr.3)'!A44,'Izdevumi (Pielikums Nr.1)'!$AQ$8:$AQ$561)+SUMIF('algu apr.'!$C$8:$C$558,'Kopsavilkums (Pielikums Nr.3)'!A44,'algu apr.'!$F$8:$F$558)+SUMIF('algu apr.'!$C$8:$C$558,'Kopsavilkums (Pielikums Nr.3)'!A44,'algu apr.'!$G$8:$G$558)</f>
        <v>300</v>
      </c>
      <c r="G44" s="88"/>
      <c r="H44" s="88"/>
      <c r="K44" s="42"/>
      <c r="L44" s="42"/>
      <c r="M44" s="42"/>
      <c r="N44" s="107"/>
    </row>
    <row r="45" spans="1:14" x14ac:dyDescent="0.25">
      <c r="A45" s="51" t="s">
        <v>542</v>
      </c>
      <c r="B45" s="51"/>
      <c r="C45" s="51"/>
      <c r="D45" s="53" t="s">
        <v>172</v>
      </c>
      <c r="E45" s="143">
        <v>950</v>
      </c>
      <c r="F45" s="151">
        <f>SUMIF('Izdevumi (Pielikums Nr.1)'!$C$8:$C$561,'Kopsavilkums (Pielikums Nr.3)'!A45,'Izdevumi (Pielikums Nr.1)'!$AQ$8:$AQ$561)+SUMIF('algu apr.'!$C$8:$C$558,'Kopsavilkums (Pielikums Nr.3)'!A45,'algu apr.'!$F$8:$F$558)+SUMIF('algu apr.'!$C$8:$C$558,'Kopsavilkums (Pielikums Nr.3)'!A45,'algu apr.'!$G$8:$G$558)</f>
        <v>0</v>
      </c>
      <c r="G45" s="88"/>
      <c r="H45" s="88"/>
      <c r="K45" s="42"/>
      <c r="L45" s="42"/>
      <c r="M45" s="42"/>
      <c r="N45" s="107"/>
    </row>
    <row r="46" spans="1:14" x14ac:dyDescent="0.25">
      <c r="A46" s="57" t="s">
        <v>543</v>
      </c>
      <c r="B46" s="48"/>
      <c r="C46" s="48"/>
      <c r="D46" s="59" t="s">
        <v>544</v>
      </c>
      <c r="E46" s="142">
        <f>SUM(E47:E49)</f>
        <v>4579877</v>
      </c>
      <c r="F46" s="144">
        <f>SUM(F47:F49)</f>
        <v>4653692</v>
      </c>
      <c r="G46" s="120"/>
      <c r="H46" s="163"/>
      <c r="K46" s="42"/>
      <c r="L46" s="42"/>
      <c r="M46" s="42"/>
      <c r="N46" s="107">
        <f t="shared" si="1"/>
        <v>0.1708253373720868</v>
      </c>
    </row>
    <row r="47" spans="1:14" x14ac:dyDescent="0.25">
      <c r="A47" s="51" t="s">
        <v>165</v>
      </c>
      <c r="B47" s="51"/>
      <c r="C47" s="51"/>
      <c r="D47" s="51" t="s">
        <v>545</v>
      </c>
      <c r="E47" s="143">
        <v>154373</v>
      </c>
      <c r="F47" s="151">
        <f>SUMIF('Izdevumi (Pielikums Nr.1)'!$C$8:$C$561,'Kopsavilkums (Pielikums Nr.3)'!A47,'Izdevumi (Pielikums Nr.1)'!$AQ$8:$AQ$561)+SUMIF('algu apr.'!$C$8:$C$558,'Kopsavilkums (Pielikums Nr.3)'!A47,'algu apr.'!$F$8:$F$558)+SUMIF('algu apr.'!$C$8:$C$558,'Kopsavilkums (Pielikums Nr.3)'!A47,'algu apr.'!$G$8:$G$558)</f>
        <v>147817</v>
      </c>
      <c r="G47" s="88"/>
      <c r="H47" s="88"/>
      <c r="K47" s="42"/>
      <c r="L47" s="42"/>
      <c r="M47" s="42"/>
      <c r="N47" s="107"/>
    </row>
    <row r="48" spans="1:14" x14ac:dyDescent="0.25">
      <c r="A48" s="51" t="s">
        <v>220</v>
      </c>
      <c r="B48" s="51"/>
      <c r="C48" s="51"/>
      <c r="D48" s="51" t="s">
        <v>546</v>
      </c>
      <c r="E48" s="143">
        <v>358919</v>
      </c>
      <c r="F48" s="151">
        <f>SUMIF('Izdevumi (Pielikums Nr.1)'!$C$8:$C$561,'Kopsavilkums (Pielikums Nr.3)'!A48,'Izdevumi (Pielikums Nr.1)'!$AQ$8:$AQ$561)+SUMIF('algu apr.'!$C$8:$C$558,'Kopsavilkums (Pielikums Nr.3)'!A48,'algu apr.'!$F$8:$F$558)+SUMIF('algu apr.'!$C$8:$C$558,'Kopsavilkums (Pielikums Nr.3)'!A48,'algu apr.'!$G$8:$G$558)</f>
        <v>160000</v>
      </c>
      <c r="G48" s="88"/>
      <c r="H48" s="88"/>
      <c r="K48" s="42"/>
      <c r="L48" s="42"/>
      <c r="M48" s="42"/>
      <c r="N48" s="107"/>
    </row>
    <row r="49" spans="1:24" ht="30" x14ac:dyDescent="0.25">
      <c r="A49" s="51" t="s">
        <v>60</v>
      </c>
      <c r="B49" s="51"/>
      <c r="C49" s="51"/>
      <c r="D49" s="53" t="s">
        <v>547</v>
      </c>
      <c r="E49" s="143">
        <v>4066585</v>
      </c>
      <c r="F49" s="151">
        <f>SUMIF('Izdevumi (Pielikums Nr.1)'!$C$8:$C$561,'Kopsavilkums (Pielikums Nr.3)'!A49,'Izdevumi (Pielikums Nr.1)'!$AQ$8:$AQ$561)+SUMIF('algu apr.'!$C$8:$C$558,'Kopsavilkums (Pielikums Nr.3)'!A49,'algu apr.'!$F$8:$F$558)+SUMIF('algu apr.'!$C$8:$C$558,'Kopsavilkums (Pielikums Nr.3)'!A49,'algu apr.'!$G$8:$G$558)</f>
        <v>4345875</v>
      </c>
      <c r="G49" s="88"/>
      <c r="H49" s="88"/>
      <c r="K49" s="42"/>
      <c r="L49" s="42"/>
      <c r="M49" s="42"/>
      <c r="N49" s="107"/>
    </row>
    <row r="50" spans="1:24" x14ac:dyDescent="0.25">
      <c r="A50" s="57" t="s">
        <v>548</v>
      </c>
      <c r="B50" s="57"/>
      <c r="C50" s="57"/>
      <c r="D50" s="52" t="s">
        <v>549</v>
      </c>
      <c r="E50" s="142">
        <f>E51</f>
        <v>163271</v>
      </c>
      <c r="F50" s="144">
        <f>SUM(F51)</f>
        <v>170662</v>
      </c>
      <c r="G50" s="120"/>
      <c r="H50" s="120"/>
      <c r="K50" s="42"/>
      <c r="L50" s="42"/>
      <c r="M50" s="42"/>
      <c r="N50" s="107">
        <f t="shared" si="1"/>
        <v>6.2645731016567228E-3</v>
      </c>
    </row>
    <row r="51" spans="1:24" ht="30" x14ac:dyDescent="0.25">
      <c r="A51" s="51" t="s">
        <v>67</v>
      </c>
      <c r="B51" s="47"/>
      <c r="C51" s="47"/>
      <c r="D51" s="55" t="s">
        <v>550</v>
      </c>
      <c r="E51" s="143">
        <v>163271</v>
      </c>
      <c r="F51" s="151">
        <f>SUMIF('Izdevumi (Pielikums Nr.1)'!$C$8:$C$561,'Kopsavilkums (Pielikums Nr.3)'!A51,'Izdevumi (Pielikums Nr.1)'!$AQ$8:$AQ$561)+SUMIF('algu apr.'!$C$8:$C$558,'Kopsavilkums (Pielikums Nr.3)'!A51,'algu apr.'!$F$8:$F$558)+SUMIF('algu apr.'!$C$8:$C$558,'Kopsavilkums (Pielikums Nr.3)'!A51,'algu apr.'!$G$8:$G$558)</f>
        <v>170662</v>
      </c>
      <c r="G51" s="88"/>
      <c r="H51" s="88"/>
      <c r="K51" s="42"/>
      <c r="L51" s="42"/>
      <c r="M51" s="42"/>
      <c r="N51" s="107"/>
    </row>
    <row r="52" spans="1:24" x14ac:dyDescent="0.25">
      <c r="A52" s="57" t="s">
        <v>551</v>
      </c>
      <c r="B52" s="57"/>
      <c r="C52" s="57"/>
      <c r="D52" s="52" t="s">
        <v>552</v>
      </c>
      <c r="E52" s="142">
        <f>SUM(E53:E56)</f>
        <v>2739523</v>
      </c>
      <c r="F52" s="144">
        <f>SUM(F53:F56)</f>
        <v>2544947</v>
      </c>
      <c r="G52" s="120"/>
      <c r="H52" s="166"/>
      <c r="K52" s="42"/>
      <c r="L52" s="42"/>
      <c r="M52" s="42"/>
      <c r="N52" s="107">
        <f t="shared" si="1"/>
        <v>9.3418608251057481E-2</v>
      </c>
    </row>
    <row r="53" spans="1:24" x14ac:dyDescent="0.25">
      <c r="A53" s="51" t="s">
        <v>70</v>
      </c>
      <c r="B53" s="51"/>
      <c r="C53" s="51"/>
      <c r="D53" s="51" t="s">
        <v>553</v>
      </c>
      <c r="E53" s="143">
        <v>697163</v>
      </c>
      <c r="F53" s="151">
        <f>SUMIF('Izdevumi (Pielikums Nr.1)'!$C$8:$C$561,'Kopsavilkums (Pielikums Nr.3)'!A53,'Izdevumi (Pielikums Nr.1)'!$AQ$8:$AQ$561)+SUMIF('algu apr.'!$C$8:$C$558,'Kopsavilkums (Pielikums Nr.3)'!A53,'algu apr.'!$F$8:$F$558)+SUMIF('algu apr.'!$C$8:$C$558,'Kopsavilkums (Pielikums Nr.3)'!A53,'algu apr.'!$G$8:$G$558)</f>
        <v>581568</v>
      </c>
      <c r="G53" s="88"/>
      <c r="H53" s="88"/>
      <c r="K53" s="42"/>
      <c r="L53" s="42"/>
      <c r="M53" s="42"/>
      <c r="N53" s="107"/>
    </row>
    <row r="54" spans="1:24" x14ac:dyDescent="0.25">
      <c r="A54" s="51" t="s">
        <v>73</v>
      </c>
      <c r="B54" s="51"/>
      <c r="C54" s="51"/>
      <c r="D54" s="51" t="s">
        <v>554</v>
      </c>
      <c r="E54" s="143">
        <v>1961616</v>
      </c>
      <c r="F54" s="151">
        <f>SUMIF('Izdevumi (Pielikums Nr.1)'!$C$8:$C$561,'Kopsavilkums (Pielikums Nr.3)'!A54,'Izdevumi (Pielikums Nr.1)'!$AQ$8:$AQ$561)+SUMIF('algu apr.'!$C$8:$C$558,'Kopsavilkums (Pielikums Nr.3)'!A54,'algu apr.'!$F$8:$F$558)+SUMIF('algu apr.'!$C$8:$C$558,'Kopsavilkums (Pielikums Nr.3)'!A54,'algu apr.'!$G$8:$G$558)</f>
        <v>1902524</v>
      </c>
      <c r="G54" s="88"/>
      <c r="H54" s="126"/>
      <c r="I54" s="125"/>
      <c r="J54" s="125"/>
      <c r="K54" s="42"/>
      <c r="L54" s="42"/>
      <c r="M54" s="42"/>
      <c r="N54" s="107"/>
    </row>
    <row r="55" spans="1:24" ht="30" x14ac:dyDescent="0.25">
      <c r="A55" s="51" t="s">
        <v>311</v>
      </c>
      <c r="B55" s="51"/>
      <c r="C55" s="51"/>
      <c r="D55" s="53" t="s">
        <v>555</v>
      </c>
      <c r="E55" s="143">
        <v>57805</v>
      </c>
      <c r="F55" s="151">
        <f>SUMIF('Izdevumi (Pielikums Nr.1)'!$C$8:$C$561,'Kopsavilkums (Pielikums Nr.3)'!A55,'Izdevumi (Pielikums Nr.1)'!$AQ$8:$AQ$561)+SUMIF('algu apr.'!$C$8:$C$558,'Kopsavilkums (Pielikums Nr.3)'!A55,'algu apr.'!$F$8:$F$558)+SUMIF('algu apr.'!$C$8:$C$558,'Kopsavilkums (Pielikums Nr.3)'!A55,'algu apr.'!$G$8:$G$558)</f>
        <v>57805</v>
      </c>
      <c r="G55" s="88"/>
      <c r="H55" s="88"/>
      <c r="K55" s="42"/>
      <c r="L55" s="42"/>
      <c r="M55" s="42"/>
      <c r="N55" s="107"/>
    </row>
    <row r="56" spans="1:24" ht="30" x14ac:dyDescent="0.25">
      <c r="A56" s="51" t="s">
        <v>156</v>
      </c>
      <c r="B56" s="51"/>
      <c r="C56" s="51"/>
      <c r="D56" s="53" t="s">
        <v>556</v>
      </c>
      <c r="E56" s="143">
        <v>22939</v>
      </c>
      <c r="F56" s="151">
        <f>SUMIF('Izdevumi (Pielikums Nr.1)'!$C$8:$C$561,'Kopsavilkums (Pielikums Nr.3)'!A56,'Izdevumi (Pielikums Nr.1)'!$AQ$8:$AQ$561)+SUMIF('algu apr.'!$C$8:$C$558,'Kopsavilkums (Pielikums Nr.3)'!A56,'algu apr.'!$F$8:$F$558)+SUMIF('algu apr.'!$C$8:$C$558,'Kopsavilkums (Pielikums Nr.3)'!A56,'algu apr.'!$G$8:$G$558)</f>
        <v>3050</v>
      </c>
      <c r="G56" s="88"/>
      <c r="H56" s="127"/>
      <c r="K56" s="42"/>
      <c r="L56" s="42"/>
      <c r="M56" s="42"/>
      <c r="N56" s="107"/>
    </row>
    <row r="57" spans="1:24" x14ac:dyDescent="0.25">
      <c r="A57" s="57" t="s">
        <v>557</v>
      </c>
      <c r="B57" s="57"/>
      <c r="C57" s="57"/>
      <c r="D57" s="56" t="s">
        <v>558</v>
      </c>
      <c r="E57" s="142">
        <f>SUM(E58:E62)</f>
        <v>10759712</v>
      </c>
      <c r="F57" s="144">
        <f>SUM(F58:F62)</f>
        <v>11480580</v>
      </c>
      <c r="G57" s="120"/>
      <c r="H57" s="166"/>
      <c r="K57" s="42"/>
      <c r="L57" s="42"/>
      <c r="M57" s="42"/>
      <c r="N57" s="107">
        <f t="shared" si="1"/>
        <v>0.42142323809294474</v>
      </c>
    </row>
    <row r="58" spans="1:24" x14ac:dyDescent="0.25">
      <c r="A58" s="51" t="s">
        <v>82</v>
      </c>
      <c r="B58" s="51"/>
      <c r="C58" s="51"/>
      <c r="D58" s="51" t="s">
        <v>559</v>
      </c>
      <c r="E58" s="143">
        <v>3517614</v>
      </c>
      <c r="F58" s="151">
        <f>SUMIF('Izdevumi (Pielikums Nr.1)'!$C$8:$C$561,'Kopsavilkums (Pielikums Nr.3)'!A58,'Izdevumi (Pielikums Nr.1)'!$AQ$8:$AQ$561)+SUMIF('algu apr.'!$C$8:$C$558,'Kopsavilkums (Pielikums Nr.3)'!A58,'algu apr.'!$F$8:$F$558)+SUMIF('algu apr.'!$C$8:$C$558,'Kopsavilkums (Pielikums Nr.3)'!A58,'algu apr.'!$G$8:$G$558)+'Izdevumi (Pielikums Nr.1)'!AQ559</f>
        <v>3689582</v>
      </c>
      <c r="G58" s="88"/>
      <c r="H58" s="127"/>
      <c r="K58" s="42"/>
      <c r="L58" s="42"/>
      <c r="M58" s="42"/>
      <c r="N58" s="107"/>
      <c r="X58" s="76"/>
    </row>
    <row r="59" spans="1:24" x14ac:dyDescent="0.25">
      <c r="A59" s="51" t="s">
        <v>86</v>
      </c>
      <c r="B59" s="51"/>
      <c r="C59" s="51"/>
      <c r="D59" s="51" t="s">
        <v>560</v>
      </c>
      <c r="E59" s="143">
        <v>4555425</v>
      </c>
      <c r="F59" s="151">
        <f>SUMIF('Izdevumi (Pielikums Nr.1)'!$C$8:$C$561,'Kopsavilkums (Pielikums Nr.3)'!A59,'Izdevumi (Pielikums Nr.1)'!$AQ$8:$AQ$561)+SUMIF('algu apr.'!$C$8:$C$558,'Kopsavilkums (Pielikums Nr.3)'!A59,'algu apr.'!$F$8:$F$558)+SUMIF('algu apr.'!$C$8:$C$558,'Kopsavilkums (Pielikums Nr.3)'!A59,'algu apr.'!$G$8:$G$558)</f>
        <v>4839600</v>
      </c>
      <c r="G59" s="88"/>
      <c r="H59" s="127"/>
      <c r="K59" s="42"/>
      <c r="L59" s="42"/>
      <c r="M59" s="42"/>
      <c r="N59" s="107"/>
      <c r="W59" s="76"/>
    </row>
    <row r="60" spans="1:24" x14ac:dyDescent="0.25">
      <c r="A60" s="51" t="s">
        <v>93</v>
      </c>
      <c r="B60" s="51"/>
      <c r="C60" s="51"/>
      <c r="D60" s="51" t="s">
        <v>561</v>
      </c>
      <c r="E60" s="143">
        <v>1418157</v>
      </c>
      <c r="F60" s="43">
        <f>SUMIF('Izdevumi (Pielikums Nr.1)'!$C$8:$C$561,'Kopsavilkums (Pielikums Nr.3)'!A60,'Izdevumi (Pielikums Nr.1)'!$AQ$8:$AQ$561)+SUMIF('algu apr.'!$C$8:$C$558,'Kopsavilkums (Pielikums Nr.3)'!A60,'algu apr.'!$F$8:$F$558)+SUMIF('algu apr.'!$C$8:$C$558,'Kopsavilkums (Pielikums Nr.3)'!A60,'algu apr.'!$G$8:$G$558)</f>
        <v>1443157</v>
      </c>
      <c r="G60" s="88"/>
      <c r="H60" s="88"/>
      <c r="K60" s="42"/>
      <c r="L60" s="42"/>
      <c r="M60" s="42"/>
      <c r="N60" s="107"/>
      <c r="W60" s="156"/>
    </row>
    <row r="61" spans="1:24" x14ac:dyDescent="0.25">
      <c r="A61" s="51" t="s">
        <v>96</v>
      </c>
      <c r="B61" s="51"/>
      <c r="C61" s="51"/>
      <c r="D61" s="51" t="s">
        <v>562</v>
      </c>
      <c r="E61" s="143">
        <v>586932</v>
      </c>
      <c r="F61" s="43">
        <f>SUMIF('Izdevumi (Pielikums Nr.1)'!$C$8:$C$561,'Kopsavilkums (Pielikums Nr.3)'!A61,'Izdevumi (Pielikums Nr.1)'!$AQ$8:$AQ$561)+SUMIF('algu apr.'!$C$8:$C$558,'Kopsavilkums (Pielikums Nr.3)'!A61,'algu apr.'!$F$8:$F$558)+SUMIF('algu apr.'!$C$8:$C$558,'Kopsavilkums (Pielikums Nr.3)'!A61,'algu apr.'!$G$8:$G$558)</f>
        <v>644866</v>
      </c>
      <c r="G61" s="88"/>
      <c r="H61" s="127"/>
      <c r="K61" s="42"/>
      <c r="L61" s="42"/>
      <c r="M61" s="42"/>
      <c r="N61" s="107"/>
      <c r="W61" s="156"/>
    </row>
    <row r="62" spans="1:24" x14ac:dyDescent="0.25">
      <c r="A62" s="51" t="s">
        <v>79</v>
      </c>
      <c r="B62" s="51"/>
      <c r="C62" s="51"/>
      <c r="D62" s="51" t="s">
        <v>563</v>
      </c>
      <c r="E62" s="143">
        <v>681584</v>
      </c>
      <c r="F62" s="43">
        <f>SUMIF('Izdevumi (Pielikums Nr.1)'!$C$8:$C$561,'Kopsavilkums (Pielikums Nr.3)'!A62,'Izdevumi (Pielikums Nr.1)'!$AQ$8:$AQ$561)+SUMIF('algu apr.'!$C$8:$C$558,'Kopsavilkums (Pielikums Nr.3)'!A62,'algu apr.'!$F$8:$F$558)+SUMIF('algu apr.'!$C$8:$C$558,'Kopsavilkums (Pielikums Nr.3)'!A62,'algu apr.'!$G$8:$G$558)</f>
        <v>863375</v>
      </c>
      <c r="G62" s="88"/>
      <c r="H62" s="127"/>
      <c r="K62" s="42"/>
      <c r="L62" s="42"/>
      <c r="M62" s="42"/>
      <c r="N62" s="107"/>
      <c r="W62" s="156"/>
    </row>
    <row r="63" spans="1:24" x14ac:dyDescent="0.25">
      <c r="A63" s="57" t="s">
        <v>564</v>
      </c>
      <c r="B63" s="57"/>
      <c r="C63" s="57"/>
      <c r="D63" s="56" t="s">
        <v>565</v>
      </c>
      <c r="E63" s="142">
        <f>SUM(E64:E67)</f>
        <v>3109274</v>
      </c>
      <c r="F63" s="144">
        <f>SUM(F64:F67)</f>
        <v>3522202</v>
      </c>
      <c r="G63" s="120"/>
      <c r="H63" s="163"/>
      <c r="K63" s="42"/>
      <c r="L63" s="42"/>
      <c r="M63" s="42"/>
      <c r="N63" s="164">
        <f t="shared" si="1"/>
        <v>0.12929118320306518</v>
      </c>
    </row>
    <row r="64" spans="1:24" x14ac:dyDescent="0.25">
      <c r="A64" s="51" t="s">
        <v>119</v>
      </c>
      <c r="B64" s="47"/>
      <c r="C64" s="47"/>
      <c r="D64" s="47" t="s">
        <v>566</v>
      </c>
      <c r="E64" s="143">
        <v>1076780</v>
      </c>
      <c r="F64" s="151">
        <f>SUMIF('Izdevumi (Pielikums Nr.1)'!$C$8:$C$561,'Kopsavilkums (Pielikums Nr.3)'!A64,'Izdevumi (Pielikums Nr.1)'!$AQ$8:$AQ$561)+SUMIF('algu apr.'!$C$8:$C$558,'Kopsavilkums (Pielikums Nr.3)'!A64,'algu apr.'!$F$8:$F$558)+SUMIF('algu apr.'!$C$8:$C$558,'Kopsavilkums (Pielikums Nr.3)'!A64,'algu apr.'!$G$8:$G$558)</f>
        <v>1259962</v>
      </c>
      <c r="G64" s="88"/>
      <c r="H64" s="127"/>
      <c r="K64" s="42"/>
      <c r="L64" s="42"/>
      <c r="M64" s="42"/>
      <c r="N64" s="107"/>
    </row>
    <row r="65" spans="1:14" x14ac:dyDescent="0.25">
      <c r="A65" s="51" t="s">
        <v>99</v>
      </c>
      <c r="B65" s="51"/>
      <c r="C65" s="51"/>
      <c r="D65" s="51" t="s">
        <v>567</v>
      </c>
      <c r="E65" s="143">
        <v>202914</v>
      </c>
      <c r="F65" s="151">
        <f>SUMIF('Izdevumi (Pielikums Nr.1)'!$C$8:$C$561,'Kopsavilkums (Pielikums Nr.3)'!A65,'Izdevumi (Pielikums Nr.1)'!$AQ$8:$AQ$561)+SUMIF('algu apr.'!$C$8:$C$558,'Kopsavilkums (Pielikums Nr.3)'!A65,'algu apr.'!$F$8:$F$558)+SUMIF('algu apr.'!$C$8:$C$558,'Kopsavilkums (Pielikums Nr.3)'!A65,'algu apr.'!$G$8:$G$558)</f>
        <v>209506</v>
      </c>
      <c r="G65" s="88"/>
      <c r="H65" s="127"/>
      <c r="K65" s="42"/>
      <c r="L65" s="42"/>
      <c r="M65" s="42"/>
      <c r="N65" s="107"/>
    </row>
    <row r="66" spans="1:14" ht="30" x14ac:dyDescent="0.25">
      <c r="A66" s="51" t="s">
        <v>101</v>
      </c>
      <c r="B66" s="51"/>
      <c r="C66" s="51"/>
      <c r="D66" s="53" t="s">
        <v>568</v>
      </c>
      <c r="E66" s="143">
        <v>824277</v>
      </c>
      <c r="F66" s="151">
        <f>SUMIF('Izdevumi (Pielikums Nr.1)'!$C$8:$C$561,'Kopsavilkums (Pielikums Nr.3)'!A66,'Izdevumi (Pielikums Nr.1)'!$AQ$8:$AQ$561)+SUMIF('algu apr.'!$C$8:$C$558,'Kopsavilkums (Pielikums Nr.3)'!A66,'algu apr.'!$F$8:$F$558)+SUMIF('algu apr.'!$C$8:$C$558,'Kopsavilkums (Pielikums Nr.3)'!A66,'algu apr.'!$G$8:$G$558)</f>
        <v>982931</v>
      </c>
      <c r="G66" s="88"/>
      <c r="H66" s="88"/>
      <c r="K66" s="42"/>
      <c r="L66" s="42"/>
      <c r="M66" s="42"/>
      <c r="N66" s="107"/>
    </row>
    <row r="67" spans="1:14" x14ac:dyDescent="0.25">
      <c r="A67" s="51" t="s">
        <v>104</v>
      </c>
      <c r="B67" s="51"/>
      <c r="C67" s="51"/>
      <c r="D67" s="51" t="s">
        <v>569</v>
      </c>
      <c r="E67" s="143">
        <v>1005303</v>
      </c>
      <c r="F67" s="151">
        <f>SUMIF('Izdevumi (Pielikums Nr.1)'!$C$8:$C$561,'Kopsavilkums (Pielikums Nr.3)'!A67,'Izdevumi (Pielikums Nr.1)'!$AQ$8:$AQ$561)+SUMIF('algu apr.'!$C$8:$C$558,'Kopsavilkums (Pielikums Nr.3)'!A67,'algu apr.'!$F$8:$F$558)+SUMIF('algu apr.'!$C$8:$C$558,'Kopsavilkums (Pielikums Nr.3)'!A67,'algu apr.'!$G$8:$G$558)</f>
        <v>1069803</v>
      </c>
      <c r="G67" s="88"/>
      <c r="H67" s="127"/>
      <c r="K67" s="42"/>
      <c r="L67" s="42"/>
      <c r="M67" s="42"/>
      <c r="N67" s="107"/>
    </row>
    <row r="68" spans="1:14" x14ac:dyDescent="0.25">
      <c r="A68" s="81"/>
      <c r="B68" s="81"/>
      <c r="C68" s="81"/>
      <c r="D68" s="56" t="s">
        <v>403</v>
      </c>
      <c r="E68" s="142">
        <f>E69</f>
        <v>1503868</v>
      </c>
      <c r="F68" s="144">
        <f>F69</f>
        <v>1630553</v>
      </c>
      <c r="G68" s="120"/>
      <c r="H68" s="120"/>
      <c r="K68" s="42"/>
      <c r="L68" s="42"/>
      <c r="M68" s="42"/>
      <c r="N68" s="107">
        <f t="shared" si="1"/>
        <v>5.9853502622878405E-2</v>
      </c>
    </row>
    <row r="69" spans="1:14" x14ac:dyDescent="0.25">
      <c r="A69" s="81" t="s">
        <v>403</v>
      </c>
      <c r="B69" s="81"/>
      <c r="C69" s="81"/>
      <c r="D69" s="51" t="s">
        <v>570</v>
      </c>
      <c r="E69" s="143">
        <v>1503868</v>
      </c>
      <c r="F69" s="151">
        <f>SUMIF('Izdevumi (Pielikums Nr.1)'!$C$8:$C$561,'Kopsavilkums (Pielikums Nr.3)'!A69,'Izdevumi (Pielikums Nr.1)'!$AQ$8:$AQ$561)+SUMIF('algu apr.'!$C$8:$C$558,'Kopsavilkums (Pielikums Nr.3)'!A69,'algu apr.'!$F$8:$F$558)+SUMIF('algu apr.'!$C$8:$C$558,'Kopsavilkums (Pielikums Nr.3)'!A69,'algu apr.'!$G$8:$G$558)</f>
        <v>1630553</v>
      </c>
      <c r="G69" s="88"/>
      <c r="H69" s="88"/>
      <c r="K69" s="42"/>
      <c r="L69" s="42"/>
      <c r="M69" s="42"/>
      <c r="N69" s="107"/>
    </row>
    <row r="70" spans="1:14" x14ac:dyDescent="0.25">
      <c r="A70" s="51"/>
      <c r="B70" s="51"/>
      <c r="C70" s="51"/>
      <c r="D70" s="56" t="s">
        <v>571</v>
      </c>
      <c r="E70" s="142">
        <f>E27+E32+E36+E41+E46+E50+E52+E57+E63+E68</f>
        <v>26068025</v>
      </c>
      <c r="F70" s="144">
        <f>F27+F32+F36+F41+F46+F50+F52+F57+F63+F68</f>
        <v>27242399</v>
      </c>
      <c r="G70" s="120"/>
      <c r="H70" s="120">
        <f>F70-E70</f>
        <v>1174374</v>
      </c>
      <c r="I70">
        <f>F70-'Izdevumi (Pielikums Nr.1)'!AQ562</f>
        <v>0</v>
      </c>
      <c r="K70" s="42"/>
      <c r="L70" s="42"/>
      <c r="M70" s="42"/>
    </row>
    <row r="71" spans="1:14" x14ac:dyDescent="0.25">
      <c r="A71" s="51"/>
      <c r="B71" s="51"/>
      <c r="C71" s="51"/>
      <c r="D71" s="56" t="s">
        <v>572</v>
      </c>
      <c r="E71" s="60">
        <f>E8-E70</f>
        <v>5878244</v>
      </c>
      <c r="F71" s="60">
        <f>F8-F70</f>
        <v>4440303</v>
      </c>
      <c r="G71" s="123"/>
      <c r="H71" s="128"/>
      <c r="I71" s="128"/>
      <c r="J71" s="128"/>
      <c r="K71" s="42"/>
      <c r="L71" s="129"/>
      <c r="M71" s="42"/>
    </row>
    <row r="73" spans="1:14" x14ac:dyDescent="0.25">
      <c r="L73" s="106"/>
    </row>
  </sheetData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U480"/>
  <sheetViews>
    <sheetView zoomScale="70" zoomScaleNormal="70" zoomScalePageLayoutView="25" workbookViewId="0">
      <pane xSplit="3" ySplit="7" topLeftCell="U367" activePane="bottomRight" state="frozen"/>
      <selection activeCell="A373" sqref="A373:XFD373"/>
      <selection pane="topRight" activeCell="A373" sqref="A373:XFD373"/>
      <selection pane="bottomLeft" activeCell="A373" sqref="A373:XFD373"/>
      <selection pane="bottomRight" activeCell="A373" sqref="A373:XFD373"/>
    </sheetView>
  </sheetViews>
  <sheetFormatPr defaultRowHeight="15" x14ac:dyDescent="0.25"/>
  <cols>
    <col min="1" max="1" width="15.42578125" style="149" bestFit="1" customWidth="1"/>
    <col min="2" max="2" width="26.5703125" style="149" customWidth="1"/>
    <col min="3" max="3" width="12.140625" style="149" bestFit="1" customWidth="1"/>
    <col min="4" max="5" width="12.42578125" customWidth="1"/>
    <col min="6" max="7" width="9.7109375" customWidth="1"/>
    <col min="8" max="13" width="9.28515625" customWidth="1"/>
    <col min="14" max="15" width="9.85546875" customWidth="1"/>
    <col min="16" max="17" width="9.28515625" customWidth="1"/>
    <col min="18" max="19" width="9.85546875" customWidth="1"/>
    <col min="20" max="25" width="9.28515625" customWidth="1"/>
    <col min="26" max="26" width="12.85546875" style="149" customWidth="1" collapsed="1"/>
    <col min="27" max="27" width="12.85546875" style="149" customWidth="1"/>
    <col min="28" max="29" width="9.28515625" customWidth="1"/>
    <col min="30" max="31" width="10.28515625" customWidth="1"/>
    <col min="32" max="33" width="10.85546875" customWidth="1"/>
    <col min="34" max="37" width="10.140625" customWidth="1"/>
    <col min="38" max="39" width="11.140625" customWidth="1"/>
    <col min="40" max="41" width="10.140625" customWidth="1"/>
    <col min="42" max="43" width="12.28515625" style="149" customWidth="1"/>
    <col min="44" max="44" width="24.85546875" style="149" customWidth="1"/>
    <col min="45" max="45" width="12" style="149" customWidth="1"/>
    <col min="46" max="46" width="13.28515625" style="149" customWidth="1"/>
    <col min="47" max="47" width="12" style="149" customWidth="1"/>
    <col min="48" max="241" width="9.140625" style="149"/>
    <col min="242" max="242" width="10.140625" style="149" customWidth="1"/>
    <col min="243" max="243" width="17.28515625" style="149" customWidth="1"/>
    <col min="244" max="244" width="9.42578125" style="149" customWidth="1"/>
    <col min="245" max="246" width="9" style="149" customWidth="1"/>
    <col min="247" max="248" width="7" style="149" customWidth="1"/>
    <col min="249" max="250" width="8.28515625" style="149" customWidth="1"/>
    <col min="251" max="260" width="7" style="149" customWidth="1"/>
    <col min="261" max="262" width="6.85546875" style="149" customWidth="1"/>
    <col min="263" max="264" width="6" style="149" customWidth="1"/>
    <col min="265" max="266" width="9.140625" style="149" customWidth="1"/>
    <col min="267" max="268" width="6" style="149" customWidth="1"/>
    <col min="269" max="270" width="8.140625" style="149" customWidth="1"/>
    <col min="271" max="272" width="7" style="149" customWidth="1"/>
    <col min="273" max="274" width="6.7109375" style="149" customWidth="1"/>
    <col min="275" max="276" width="8.85546875" style="149" customWidth="1"/>
    <col min="277" max="278" width="7.5703125" style="149" customWidth="1"/>
    <col min="279" max="280" width="7.7109375" style="149" customWidth="1"/>
    <col min="281" max="497" width="9.140625" style="149"/>
    <col min="498" max="498" width="10.140625" style="149" customWidth="1"/>
    <col min="499" max="499" width="17.28515625" style="149" customWidth="1"/>
    <col min="500" max="500" width="9.42578125" style="149" customWidth="1"/>
    <col min="501" max="502" width="9" style="149" customWidth="1"/>
    <col min="503" max="504" width="7" style="149" customWidth="1"/>
    <col min="505" max="506" width="8.28515625" style="149" customWidth="1"/>
    <col min="507" max="516" width="7" style="149" customWidth="1"/>
    <col min="517" max="518" width="6.85546875" style="149" customWidth="1"/>
    <col min="519" max="520" width="6" style="149" customWidth="1"/>
    <col min="521" max="522" width="9.140625" style="149" customWidth="1"/>
    <col min="523" max="524" width="6" style="149" customWidth="1"/>
    <col min="525" max="526" width="8.140625" style="149" customWidth="1"/>
    <col min="527" max="528" width="7" style="149" customWidth="1"/>
    <col min="529" max="530" width="6.7109375" style="149" customWidth="1"/>
    <col min="531" max="532" width="8.85546875" style="149" customWidth="1"/>
    <col min="533" max="534" width="7.5703125" style="149" customWidth="1"/>
    <col min="535" max="536" width="7.7109375" style="149" customWidth="1"/>
    <col min="537" max="753" width="9.140625" style="149"/>
    <col min="754" max="754" width="10.140625" style="149" customWidth="1"/>
    <col min="755" max="755" width="17.28515625" style="149" customWidth="1"/>
    <col min="756" max="756" width="9.42578125" style="149" customWidth="1"/>
    <col min="757" max="758" width="9" style="149" customWidth="1"/>
    <col min="759" max="760" width="7" style="149" customWidth="1"/>
    <col min="761" max="762" width="8.28515625" style="149" customWidth="1"/>
    <col min="763" max="772" width="7" style="149" customWidth="1"/>
    <col min="773" max="774" width="6.85546875" style="149" customWidth="1"/>
    <col min="775" max="776" width="6" style="149" customWidth="1"/>
    <col min="777" max="778" width="9.140625" style="149" customWidth="1"/>
    <col min="779" max="780" width="6" style="149" customWidth="1"/>
    <col min="781" max="782" width="8.140625" style="149" customWidth="1"/>
    <col min="783" max="784" width="7" style="149" customWidth="1"/>
    <col min="785" max="786" width="6.7109375" style="149" customWidth="1"/>
    <col min="787" max="788" width="8.85546875" style="149" customWidth="1"/>
    <col min="789" max="790" width="7.5703125" style="149" customWidth="1"/>
    <col min="791" max="792" width="7.7109375" style="149" customWidth="1"/>
    <col min="793" max="1009" width="9.140625" style="149"/>
    <col min="1010" max="1010" width="10.140625" style="149" customWidth="1"/>
    <col min="1011" max="1011" width="17.28515625" style="149" customWidth="1"/>
    <col min="1012" max="1012" width="9.42578125" style="149" customWidth="1"/>
    <col min="1013" max="1014" width="9" style="149" customWidth="1"/>
    <col min="1015" max="1016" width="7" style="149" customWidth="1"/>
    <col min="1017" max="1018" width="8.28515625" style="149" customWidth="1"/>
    <col min="1019" max="1028" width="7" style="149" customWidth="1"/>
    <col min="1029" max="1030" width="6.85546875" style="149" customWidth="1"/>
    <col min="1031" max="1032" width="6" style="149" customWidth="1"/>
    <col min="1033" max="1034" width="9.140625" style="149" customWidth="1"/>
    <col min="1035" max="1036" width="6" style="149" customWidth="1"/>
    <col min="1037" max="1038" width="8.140625" style="149" customWidth="1"/>
    <col min="1039" max="1040" width="7" style="149" customWidth="1"/>
    <col min="1041" max="1042" width="6.7109375" style="149" customWidth="1"/>
    <col min="1043" max="1044" width="8.85546875" style="149" customWidth="1"/>
    <col min="1045" max="1046" width="7.5703125" style="149" customWidth="1"/>
    <col min="1047" max="1048" width="7.7109375" style="149" customWidth="1"/>
    <col min="1049" max="1265" width="9.140625" style="149"/>
    <col min="1266" max="1266" width="10.140625" style="149" customWidth="1"/>
    <col min="1267" max="1267" width="17.28515625" style="149" customWidth="1"/>
    <col min="1268" max="1268" width="9.42578125" style="149" customWidth="1"/>
    <col min="1269" max="1270" width="9" style="149" customWidth="1"/>
    <col min="1271" max="1272" width="7" style="149" customWidth="1"/>
    <col min="1273" max="1274" width="8.28515625" style="149" customWidth="1"/>
    <col min="1275" max="1284" width="7" style="149" customWidth="1"/>
    <col min="1285" max="1286" width="6.85546875" style="149" customWidth="1"/>
    <col min="1287" max="1288" width="6" style="149" customWidth="1"/>
    <col min="1289" max="1290" width="9.140625" style="149" customWidth="1"/>
    <col min="1291" max="1292" width="6" style="149" customWidth="1"/>
    <col min="1293" max="1294" width="8.140625" style="149" customWidth="1"/>
    <col min="1295" max="1296" width="7" style="149" customWidth="1"/>
    <col min="1297" max="1298" width="6.7109375" style="149" customWidth="1"/>
    <col min="1299" max="1300" width="8.85546875" style="149" customWidth="1"/>
    <col min="1301" max="1302" width="7.5703125" style="149" customWidth="1"/>
    <col min="1303" max="1304" width="7.7109375" style="149" customWidth="1"/>
    <col min="1305" max="1521" width="9.140625" style="149"/>
    <col min="1522" max="1522" width="10.140625" style="149" customWidth="1"/>
    <col min="1523" max="1523" width="17.28515625" style="149" customWidth="1"/>
    <col min="1524" max="1524" width="9.42578125" style="149" customWidth="1"/>
    <col min="1525" max="1526" width="9" style="149" customWidth="1"/>
    <col min="1527" max="1528" width="7" style="149" customWidth="1"/>
    <col min="1529" max="1530" width="8.28515625" style="149" customWidth="1"/>
    <col min="1531" max="1540" width="7" style="149" customWidth="1"/>
    <col min="1541" max="1542" width="6.85546875" style="149" customWidth="1"/>
    <col min="1543" max="1544" width="6" style="149" customWidth="1"/>
    <col min="1545" max="1546" width="9.140625" style="149" customWidth="1"/>
    <col min="1547" max="1548" width="6" style="149" customWidth="1"/>
    <col min="1549" max="1550" width="8.140625" style="149" customWidth="1"/>
    <col min="1551" max="1552" width="7" style="149" customWidth="1"/>
    <col min="1553" max="1554" width="6.7109375" style="149" customWidth="1"/>
    <col min="1555" max="1556" width="8.85546875" style="149" customWidth="1"/>
    <col min="1557" max="1558" width="7.5703125" style="149" customWidth="1"/>
    <col min="1559" max="1560" width="7.7109375" style="149" customWidth="1"/>
    <col min="1561" max="1777" width="9.140625" style="149"/>
    <col min="1778" max="1778" width="10.140625" style="149" customWidth="1"/>
    <col min="1779" max="1779" width="17.28515625" style="149" customWidth="1"/>
    <col min="1780" max="1780" width="9.42578125" style="149" customWidth="1"/>
    <col min="1781" max="1782" width="9" style="149" customWidth="1"/>
    <col min="1783" max="1784" width="7" style="149" customWidth="1"/>
    <col min="1785" max="1786" width="8.28515625" style="149" customWidth="1"/>
    <col min="1787" max="1796" width="7" style="149" customWidth="1"/>
    <col min="1797" max="1798" width="6.85546875" style="149" customWidth="1"/>
    <col min="1799" max="1800" width="6" style="149" customWidth="1"/>
    <col min="1801" max="1802" width="9.140625" style="149" customWidth="1"/>
    <col min="1803" max="1804" width="6" style="149" customWidth="1"/>
    <col min="1805" max="1806" width="8.140625" style="149" customWidth="1"/>
    <col min="1807" max="1808" width="7" style="149" customWidth="1"/>
    <col min="1809" max="1810" width="6.7109375" style="149" customWidth="1"/>
    <col min="1811" max="1812" width="8.85546875" style="149" customWidth="1"/>
    <col min="1813" max="1814" width="7.5703125" style="149" customWidth="1"/>
    <col min="1815" max="1816" width="7.7109375" style="149" customWidth="1"/>
    <col min="1817" max="2033" width="9.140625" style="149"/>
    <col min="2034" max="2034" width="10.140625" style="149" customWidth="1"/>
    <col min="2035" max="2035" width="17.28515625" style="149" customWidth="1"/>
    <col min="2036" max="2036" width="9.42578125" style="149" customWidth="1"/>
    <col min="2037" max="2038" width="9" style="149" customWidth="1"/>
    <col min="2039" max="2040" width="7" style="149" customWidth="1"/>
    <col min="2041" max="2042" width="8.28515625" style="149" customWidth="1"/>
    <col min="2043" max="2052" width="7" style="149" customWidth="1"/>
    <col min="2053" max="2054" width="6.85546875" style="149" customWidth="1"/>
    <col min="2055" max="2056" width="6" style="149" customWidth="1"/>
    <col min="2057" max="2058" width="9.140625" style="149" customWidth="1"/>
    <col min="2059" max="2060" width="6" style="149" customWidth="1"/>
    <col min="2061" max="2062" width="8.140625" style="149" customWidth="1"/>
    <col min="2063" max="2064" width="7" style="149" customWidth="1"/>
    <col min="2065" max="2066" width="6.7109375" style="149" customWidth="1"/>
    <col min="2067" max="2068" width="8.85546875" style="149" customWidth="1"/>
    <col min="2069" max="2070" width="7.5703125" style="149" customWidth="1"/>
    <col min="2071" max="2072" width="7.7109375" style="149" customWidth="1"/>
    <col min="2073" max="2289" width="9.140625" style="149"/>
    <col min="2290" max="2290" width="10.140625" style="149" customWidth="1"/>
    <col min="2291" max="2291" width="17.28515625" style="149" customWidth="1"/>
    <col min="2292" max="2292" width="9.42578125" style="149" customWidth="1"/>
    <col min="2293" max="2294" width="9" style="149" customWidth="1"/>
    <col min="2295" max="2296" width="7" style="149" customWidth="1"/>
    <col min="2297" max="2298" width="8.28515625" style="149" customWidth="1"/>
    <col min="2299" max="2308" width="7" style="149" customWidth="1"/>
    <col min="2309" max="2310" width="6.85546875" style="149" customWidth="1"/>
    <col min="2311" max="2312" width="6" style="149" customWidth="1"/>
    <col min="2313" max="2314" width="9.140625" style="149" customWidth="1"/>
    <col min="2315" max="2316" width="6" style="149" customWidth="1"/>
    <col min="2317" max="2318" width="8.140625" style="149" customWidth="1"/>
    <col min="2319" max="2320" width="7" style="149" customWidth="1"/>
    <col min="2321" max="2322" width="6.7109375" style="149" customWidth="1"/>
    <col min="2323" max="2324" width="8.85546875" style="149" customWidth="1"/>
    <col min="2325" max="2326" width="7.5703125" style="149" customWidth="1"/>
    <col min="2327" max="2328" width="7.7109375" style="149" customWidth="1"/>
    <col min="2329" max="2545" width="9.140625" style="149"/>
    <col min="2546" max="2546" width="10.140625" style="149" customWidth="1"/>
    <col min="2547" max="2547" width="17.28515625" style="149" customWidth="1"/>
    <col min="2548" max="2548" width="9.42578125" style="149" customWidth="1"/>
    <col min="2549" max="2550" width="9" style="149" customWidth="1"/>
    <col min="2551" max="2552" width="7" style="149" customWidth="1"/>
    <col min="2553" max="2554" width="8.28515625" style="149" customWidth="1"/>
    <col min="2555" max="2564" width="7" style="149" customWidth="1"/>
    <col min="2565" max="2566" width="6.85546875" style="149" customWidth="1"/>
    <col min="2567" max="2568" width="6" style="149" customWidth="1"/>
    <col min="2569" max="2570" width="9.140625" style="149" customWidth="1"/>
    <col min="2571" max="2572" width="6" style="149" customWidth="1"/>
    <col min="2573" max="2574" width="8.140625" style="149" customWidth="1"/>
    <col min="2575" max="2576" width="7" style="149" customWidth="1"/>
    <col min="2577" max="2578" width="6.7109375" style="149" customWidth="1"/>
    <col min="2579" max="2580" width="8.85546875" style="149" customWidth="1"/>
    <col min="2581" max="2582" width="7.5703125" style="149" customWidth="1"/>
    <col min="2583" max="2584" width="7.7109375" style="149" customWidth="1"/>
    <col min="2585" max="2801" width="9.140625" style="149"/>
    <col min="2802" max="2802" width="10.140625" style="149" customWidth="1"/>
    <col min="2803" max="2803" width="17.28515625" style="149" customWidth="1"/>
    <col min="2804" max="2804" width="9.42578125" style="149" customWidth="1"/>
    <col min="2805" max="2806" width="9" style="149" customWidth="1"/>
    <col min="2807" max="2808" width="7" style="149" customWidth="1"/>
    <col min="2809" max="2810" width="8.28515625" style="149" customWidth="1"/>
    <col min="2811" max="2820" width="7" style="149" customWidth="1"/>
    <col min="2821" max="2822" width="6.85546875" style="149" customWidth="1"/>
    <col min="2823" max="2824" width="6" style="149" customWidth="1"/>
    <col min="2825" max="2826" width="9.140625" style="149" customWidth="1"/>
    <col min="2827" max="2828" width="6" style="149" customWidth="1"/>
    <col min="2829" max="2830" width="8.140625" style="149" customWidth="1"/>
    <col min="2831" max="2832" width="7" style="149" customWidth="1"/>
    <col min="2833" max="2834" width="6.7109375" style="149" customWidth="1"/>
    <col min="2835" max="2836" width="8.85546875" style="149" customWidth="1"/>
    <col min="2837" max="2838" width="7.5703125" style="149" customWidth="1"/>
    <col min="2839" max="2840" width="7.7109375" style="149" customWidth="1"/>
    <col min="2841" max="3057" width="9.140625" style="149"/>
    <col min="3058" max="3058" width="10.140625" style="149" customWidth="1"/>
    <col min="3059" max="3059" width="17.28515625" style="149" customWidth="1"/>
    <col min="3060" max="3060" width="9.42578125" style="149" customWidth="1"/>
    <col min="3061" max="3062" width="9" style="149" customWidth="1"/>
    <col min="3063" max="3064" width="7" style="149" customWidth="1"/>
    <col min="3065" max="3066" width="8.28515625" style="149" customWidth="1"/>
    <col min="3067" max="3076" width="7" style="149" customWidth="1"/>
    <col min="3077" max="3078" width="6.85546875" style="149" customWidth="1"/>
    <col min="3079" max="3080" width="6" style="149" customWidth="1"/>
    <col min="3081" max="3082" width="9.140625" style="149" customWidth="1"/>
    <col min="3083" max="3084" width="6" style="149" customWidth="1"/>
    <col min="3085" max="3086" width="8.140625" style="149" customWidth="1"/>
    <col min="3087" max="3088" width="7" style="149" customWidth="1"/>
    <col min="3089" max="3090" width="6.7109375" style="149" customWidth="1"/>
    <col min="3091" max="3092" width="8.85546875" style="149" customWidth="1"/>
    <col min="3093" max="3094" width="7.5703125" style="149" customWidth="1"/>
    <col min="3095" max="3096" width="7.7109375" style="149" customWidth="1"/>
    <col min="3097" max="3313" width="9.140625" style="149"/>
    <col min="3314" max="3314" width="10.140625" style="149" customWidth="1"/>
    <col min="3315" max="3315" width="17.28515625" style="149" customWidth="1"/>
    <col min="3316" max="3316" width="9.42578125" style="149" customWidth="1"/>
    <col min="3317" max="3318" width="9" style="149" customWidth="1"/>
    <col min="3319" max="3320" width="7" style="149" customWidth="1"/>
    <col min="3321" max="3322" width="8.28515625" style="149" customWidth="1"/>
    <col min="3323" max="3332" width="7" style="149" customWidth="1"/>
    <col min="3333" max="3334" width="6.85546875" style="149" customWidth="1"/>
    <col min="3335" max="3336" width="6" style="149" customWidth="1"/>
    <col min="3337" max="3338" width="9.140625" style="149" customWidth="1"/>
    <col min="3339" max="3340" width="6" style="149" customWidth="1"/>
    <col min="3341" max="3342" width="8.140625" style="149" customWidth="1"/>
    <col min="3343" max="3344" width="7" style="149" customWidth="1"/>
    <col min="3345" max="3346" width="6.7109375" style="149" customWidth="1"/>
    <col min="3347" max="3348" width="8.85546875" style="149" customWidth="1"/>
    <col min="3349" max="3350" width="7.5703125" style="149" customWidth="1"/>
    <col min="3351" max="3352" width="7.7109375" style="149" customWidth="1"/>
    <col min="3353" max="3569" width="9.140625" style="149"/>
    <col min="3570" max="3570" width="10.140625" style="149" customWidth="1"/>
    <col min="3571" max="3571" width="17.28515625" style="149" customWidth="1"/>
    <col min="3572" max="3572" width="9.42578125" style="149" customWidth="1"/>
    <col min="3573" max="3574" width="9" style="149" customWidth="1"/>
    <col min="3575" max="3576" width="7" style="149" customWidth="1"/>
    <col min="3577" max="3578" width="8.28515625" style="149" customWidth="1"/>
    <col min="3579" max="3588" width="7" style="149" customWidth="1"/>
    <col min="3589" max="3590" width="6.85546875" style="149" customWidth="1"/>
    <col min="3591" max="3592" width="6" style="149" customWidth="1"/>
    <col min="3593" max="3594" width="9.140625" style="149" customWidth="1"/>
    <col min="3595" max="3596" width="6" style="149" customWidth="1"/>
    <col min="3597" max="3598" width="8.140625" style="149" customWidth="1"/>
    <col min="3599" max="3600" width="7" style="149" customWidth="1"/>
    <col min="3601" max="3602" width="6.7109375" style="149" customWidth="1"/>
    <col min="3603" max="3604" width="8.85546875" style="149" customWidth="1"/>
    <col min="3605" max="3606" width="7.5703125" style="149" customWidth="1"/>
    <col min="3607" max="3608" width="7.7109375" style="149" customWidth="1"/>
    <col min="3609" max="3825" width="9.140625" style="149"/>
    <col min="3826" max="3826" width="10.140625" style="149" customWidth="1"/>
    <col min="3827" max="3827" width="17.28515625" style="149" customWidth="1"/>
    <col min="3828" max="3828" width="9.42578125" style="149" customWidth="1"/>
    <col min="3829" max="3830" width="9" style="149" customWidth="1"/>
    <col min="3831" max="3832" width="7" style="149" customWidth="1"/>
    <col min="3833" max="3834" width="8.28515625" style="149" customWidth="1"/>
    <col min="3835" max="3844" width="7" style="149" customWidth="1"/>
    <col min="3845" max="3846" width="6.85546875" style="149" customWidth="1"/>
    <col min="3847" max="3848" width="6" style="149" customWidth="1"/>
    <col min="3849" max="3850" width="9.140625" style="149" customWidth="1"/>
    <col min="3851" max="3852" width="6" style="149" customWidth="1"/>
    <col min="3853" max="3854" width="8.140625" style="149" customWidth="1"/>
    <col min="3855" max="3856" width="7" style="149" customWidth="1"/>
    <col min="3857" max="3858" width="6.7109375" style="149" customWidth="1"/>
    <col min="3859" max="3860" width="8.85546875" style="149" customWidth="1"/>
    <col min="3861" max="3862" width="7.5703125" style="149" customWidth="1"/>
    <col min="3863" max="3864" width="7.7109375" style="149" customWidth="1"/>
    <col min="3865" max="4081" width="9.140625" style="149"/>
    <col min="4082" max="4082" width="10.140625" style="149" customWidth="1"/>
    <col min="4083" max="4083" width="17.28515625" style="149" customWidth="1"/>
    <col min="4084" max="4084" width="9.42578125" style="149" customWidth="1"/>
    <col min="4085" max="4086" width="9" style="149" customWidth="1"/>
    <col min="4087" max="4088" width="7" style="149" customWidth="1"/>
    <col min="4089" max="4090" width="8.28515625" style="149" customWidth="1"/>
    <col min="4091" max="4100" width="7" style="149" customWidth="1"/>
    <col min="4101" max="4102" width="6.85546875" style="149" customWidth="1"/>
    <col min="4103" max="4104" width="6" style="149" customWidth="1"/>
    <col min="4105" max="4106" width="9.140625" style="149" customWidth="1"/>
    <col min="4107" max="4108" width="6" style="149" customWidth="1"/>
    <col min="4109" max="4110" width="8.140625" style="149" customWidth="1"/>
    <col min="4111" max="4112" width="7" style="149" customWidth="1"/>
    <col min="4113" max="4114" width="6.7109375" style="149" customWidth="1"/>
    <col min="4115" max="4116" width="8.85546875" style="149" customWidth="1"/>
    <col min="4117" max="4118" width="7.5703125" style="149" customWidth="1"/>
    <col min="4119" max="4120" width="7.7109375" style="149" customWidth="1"/>
    <col min="4121" max="4337" width="9.140625" style="149"/>
    <col min="4338" max="4338" width="10.140625" style="149" customWidth="1"/>
    <col min="4339" max="4339" width="17.28515625" style="149" customWidth="1"/>
    <col min="4340" max="4340" width="9.42578125" style="149" customWidth="1"/>
    <col min="4341" max="4342" width="9" style="149" customWidth="1"/>
    <col min="4343" max="4344" width="7" style="149" customWidth="1"/>
    <col min="4345" max="4346" width="8.28515625" style="149" customWidth="1"/>
    <col min="4347" max="4356" width="7" style="149" customWidth="1"/>
    <col min="4357" max="4358" width="6.85546875" style="149" customWidth="1"/>
    <col min="4359" max="4360" width="6" style="149" customWidth="1"/>
    <col min="4361" max="4362" width="9.140625" style="149" customWidth="1"/>
    <col min="4363" max="4364" width="6" style="149" customWidth="1"/>
    <col min="4365" max="4366" width="8.140625" style="149" customWidth="1"/>
    <col min="4367" max="4368" width="7" style="149" customWidth="1"/>
    <col min="4369" max="4370" width="6.7109375" style="149" customWidth="1"/>
    <col min="4371" max="4372" width="8.85546875" style="149" customWidth="1"/>
    <col min="4373" max="4374" width="7.5703125" style="149" customWidth="1"/>
    <col min="4375" max="4376" width="7.7109375" style="149" customWidth="1"/>
    <col min="4377" max="4593" width="9.140625" style="149"/>
    <col min="4594" max="4594" width="10.140625" style="149" customWidth="1"/>
    <col min="4595" max="4595" width="17.28515625" style="149" customWidth="1"/>
    <col min="4596" max="4596" width="9.42578125" style="149" customWidth="1"/>
    <col min="4597" max="4598" width="9" style="149" customWidth="1"/>
    <col min="4599" max="4600" width="7" style="149" customWidth="1"/>
    <col min="4601" max="4602" width="8.28515625" style="149" customWidth="1"/>
    <col min="4603" max="4612" width="7" style="149" customWidth="1"/>
    <col min="4613" max="4614" width="6.85546875" style="149" customWidth="1"/>
    <col min="4615" max="4616" width="6" style="149" customWidth="1"/>
    <col min="4617" max="4618" width="9.140625" style="149" customWidth="1"/>
    <col min="4619" max="4620" width="6" style="149" customWidth="1"/>
    <col min="4621" max="4622" width="8.140625" style="149" customWidth="1"/>
    <col min="4623" max="4624" width="7" style="149" customWidth="1"/>
    <col min="4625" max="4626" width="6.7109375" style="149" customWidth="1"/>
    <col min="4627" max="4628" width="8.85546875" style="149" customWidth="1"/>
    <col min="4629" max="4630" width="7.5703125" style="149" customWidth="1"/>
    <col min="4631" max="4632" width="7.7109375" style="149" customWidth="1"/>
    <col min="4633" max="4849" width="9.140625" style="149"/>
    <col min="4850" max="4850" width="10.140625" style="149" customWidth="1"/>
    <col min="4851" max="4851" width="17.28515625" style="149" customWidth="1"/>
    <col min="4852" max="4852" width="9.42578125" style="149" customWidth="1"/>
    <col min="4853" max="4854" width="9" style="149" customWidth="1"/>
    <col min="4855" max="4856" width="7" style="149" customWidth="1"/>
    <col min="4857" max="4858" width="8.28515625" style="149" customWidth="1"/>
    <col min="4859" max="4868" width="7" style="149" customWidth="1"/>
    <col min="4869" max="4870" width="6.85546875" style="149" customWidth="1"/>
    <col min="4871" max="4872" width="6" style="149" customWidth="1"/>
    <col min="4873" max="4874" width="9.140625" style="149" customWidth="1"/>
    <col min="4875" max="4876" width="6" style="149" customWidth="1"/>
    <col min="4877" max="4878" width="8.140625" style="149" customWidth="1"/>
    <col min="4879" max="4880" width="7" style="149" customWidth="1"/>
    <col min="4881" max="4882" width="6.7109375" style="149" customWidth="1"/>
    <col min="4883" max="4884" width="8.85546875" style="149" customWidth="1"/>
    <col min="4885" max="4886" width="7.5703125" style="149" customWidth="1"/>
    <col min="4887" max="4888" width="7.7109375" style="149" customWidth="1"/>
    <col min="4889" max="5105" width="9.140625" style="149"/>
    <col min="5106" max="5106" width="10.140625" style="149" customWidth="1"/>
    <col min="5107" max="5107" width="17.28515625" style="149" customWidth="1"/>
    <col min="5108" max="5108" width="9.42578125" style="149" customWidth="1"/>
    <col min="5109" max="5110" width="9" style="149" customWidth="1"/>
    <col min="5111" max="5112" width="7" style="149" customWidth="1"/>
    <col min="5113" max="5114" width="8.28515625" style="149" customWidth="1"/>
    <col min="5115" max="5124" width="7" style="149" customWidth="1"/>
    <col min="5125" max="5126" width="6.85546875" style="149" customWidth="1"/>
    <col min="5127" max="5128" width="6" style="149" customWidth="1"/>
    <col min="5129" max="5130" width="9.140625" style="149" customWidth="1"/>
    <col min="5131" max="5132" width="6" style="149" customWidth="1"/>
    <col min="5133" max="5134" width="8.140625" style="149" customWidth="1"/>
    <col min="5135" max="5136" width="7" style="149" customWidth="1"/>
    <col min="5137" max="5138" width="6.7109375" style="149" customWidth="1"/>
    <col min="5139" max="5140" width="8.85546875" style="149" customWidth="1"/>
    <col min="5141" max="5142" width="7.5703125" style="149" customWidth="1"/>
    <col min="5143" max="5144" width="7.7109375" style="149" customWidth="1"/>
    <col min="5145" max="5361" width="9.140625" style="149"/>
    <col min="5362" max="5362" width="10.140625" style="149" customWidth="1"/>
    <col min="5363" max="5363" width="17.28515625" style="149" customWidth="1"/>
    <col min="5364" max="5364" width="9.42578125" style="149" customWidth="1"/>
    <col min="5365" max="5366" width="9" style="149" customWidth="1"/>
    <col min="5367" max="5368" width="7" style="149" customWidth="1"/>
    <col min="5369" max="5370" width="8.28515625" style="149" customWidth="1"/>
    <col min="5371" max="5380" width="7" style="149" customWidth="1"/>
    <col min="5381" max="5382" width="6.85546875" style="149" customWidth="1"/>
    <col min="5383" max="5384" width="6" style="149" customWidth="1"/>
    <col min="5385" max="5386" width="9.140625" style="149" customWidth="1"/>
    <col min="5387" max="5388" width="6" style="149" customWidth="1"/>
    <col min="5389" max="5390" width="8.140625" style="149" customWidth="1"/>
    <col min="5391" max="5392" width="7" style="149" customWidth="1"/>
    <col min="5393" max="5394" width="6.7109375" style="149" customWidth="1"/>
    <col min="5395" max="5396" width="8.85546875" style="149" customWidth="1"/>
    <col min="5397" max="5398" width="7.5703125" style="149" customWidth="1"/>
    <col min="5399" max="5400" width="7.7109375" style="149" customWidth="1"/>
    <col min="5401" max="5617" width="9.140625" style="149"/>
    <col min="5618" max="5618" width="10.140625" style="149" customWidth="1"/>
    <col min="5619" max="5619" width="17.28515625" style="149" customWidth="1"/>
    <col min="5620" max="5620" width="9.42578125" style="149" customWidth="1"/>
    <col min="5621" max="5622" width="9" style="149" customWidth="1"/>
    <col min="5623" max="5624" width="7" style="149" customWidth="1"/>
    <col min="5625" max="5626" width="8.28515625" style="149" customWidth="1"/>
    <col min="5627" max="5636" width="7" style="149" customWidth="1"/>
    <col min="5637" max="5638" width="6.85546875" style="149" customWidth="1"/>
    <col min="5639" max="5640" width="6" style="149" customWidth="1"/>
    <col min="5641" max="5642" width="9.140625" style="149" customWidth="1"/>
    <col min="5643" max="5644" width="6" style="149" customWidth="1"/>
    <col min="5645" max="5646" width="8.140625" style="149" customWidth="1"/>
    <col min="5647" max="5648" width="7" style="149" customWidth="1"/>
    <col min="5649" max="5650" width="6.7109375" style="149" customWidth="1"/>
    <col min="5651" max="5652" width="8.85546875" style="149" customWidth="1"/>
    <col min="5653" max="5654" width="7.5703125" style="149" customWidth="1"/>
    <col min="5655" max="5656" width="7.7109375" style="149" customWidth="1"/>
    <col min="5657" max="5873" width="9.140625" style="149"/>
    <col min="5874" max="5874" width="10.140625" style="149" customWidth="1"/>
    <col min="5875" max="5875" width="17.28515625" style="149" customWidth="1"/>
    <col min="5876" max="5876" width="9.42578125" style="149" customWidth="1"/>
    <col min="5877" max="5878" width="9" style="149" customWidth="1"/>
    <col min="5879" max="5880" width="7" style="149" customWidth="1"/>
    <col min="5881" max="5882" width="8.28515625" style="149" customWidth="1"/>
    <col min="5883" max="5892" width="7" style="149" customWidth="1"/>
    <col min="5893" max="5894" width="6.85546875" style="149" customWidth="1"/>
    <col min="5895" max="5896" width="6" style="149" customWidth="1"/>
    <col min="5897" max="5898" width="9.140625" style="149" customWidth="1"/>
    <col min="5899" max="5900" width="6" style="149" customWidth="1"/>
    <col min="5901" max="5902" width="8.140625" style="149" customWidth="1"/>
    <col min="5903" max="5904" width="7" style="149" customWidth="1"/>
    <col min="5905" max="5906" width="6.7109375" style="149" customWidth="1"/>
    <col min="5907" max="5908" width="8.85546875" style="149" customWidth="1"/>
    <col min="5909" max="5910" width="7.5703125" style="149" customWidth="1"/>
    <col min="5911" max="5912" width="7.7109375" style="149" customWidth="1"/>
    <col min="5913" max="6129" width="9.140625" style="149"/>
    <col min="6130" max="6130" width="10.140625" style="149" customWidth="1"/>
    <col min="6131" max="6131" width="17.28515625" style="149" customWidth="1"/>
    <col min="6132" max="6132" width="9.42578125" style="149" customWidth="1"/>
    <col min="6133" max="6134" width="9" style="149" customWidth="1"/>
    <col min="6135" max="6136" width="7" style="149" customWidth="1"/>
    <col min="6137" max="6138" width="8.28515625" style="149" customWidth="1"/>
    <col min="6139" max="6148" width="7" style="149" customWidth="1"/>
    <col min="6149" max="6150" width="6.85546875" style="149" customWidth="1"/>
    <col min="6151" max="6152" width="6" style="149" customWidth="1"/>
    <col min="6153" max="6154" width="9.140625" style="149" customWidth="1"/>
    <col min="6155" max="6156" width="6" style="149" customWidth="1"/>
    <col min="6157" max="6158" width="8.140625" style="149" customWidth="1"/>
    <col min="6159" max="6160" width="7" style="149" customWidth="1"/>
    <col min="6161" max="6162" width="6.7109375" style="149" customWidth="1"/>
    <col min="6163" max="6164" width="8.85546875" style="149" customWidth="1"/>
    <col min="6165" max="6166" width="7.5703125" style="149" customWidth="1"/>
    <col min="6167" max="6168" width="7.7109375" style="149" customWidth="1"/>
    <col min="6169" max="6385" width="9.140625" style="149"/>
    <col min="6386" max="6386" width="10.140625" style="149" customWidth="1"/>
    <col min="6387" max="6387" width="17.28515625" style="149" customWidth="1"/>
    <col min="6388" max="6388" width="9.42578125" style="149" customWidth="1"/>
    <col min="6389" max="6390" width="9" style="149" customWidth="1"/>
    <col min="6391" max="6392" width="7" style="149" customWidth="1"/>
    <col min="6393" max="6394" width="8.28515625" style="149" customWidth="1"/>
    <col min="6395" max="6404" width="7" style="149" customWidth="1"/>
    <col min="6405" max="6406" width="6.85546875" style="149" customWidth="1"/>
    <col min="6407" max="6408" width="6" style="149" customWidth="1"/>
    <col min="6409" max="6410" width="9.140625" style="149" customWidth="1"/>
    <col min="6411" max="6412" width="6" style="149" customWidth="1"/>
    <col min="6413" max="6414" width="8.140625" style="149" customWidth="1"/>
    <col min="6415" max="6416" width="7" style="149" customWidth="1"/>
    <col min="6417" max="6418" width="6.7109375" style="149" customWidth="1"/>
    <col min="6419" max="6420" width="8.85546875" style="149" customWidth="1"/>
    <col min="6421" max="6422" width="7.5703125" style="149" customWidth="1"/>
    <col min="6423" max="6424" width="7.7109375" style="149" customWidth="1"/>
    <col min="6425" max="6641" width="9.140625" style="149"/>
    <col min="6642" max="6642" width="10.140625" style="149" customWidth="1"/>
    <col min="6643" max="6643" width="17.28515625" style="149" customWidth="1"/>
    <col min="6644" max="6644" width="9.42578125" style="149" customWidth="1"/>
    <col min="6645" max="6646" width="9" style="149" customWidth="1"/>
    <col min="6647" max="6648" width="7" style="149" customWidth="1"/>
    <col min="6649" max="6650" width="8.28515625" style="149" customWidth="1"/>
    <col min="6651" max="6660" width="7" style="149" customWidth="1"/>
    <col min="6661" max="6662" width="6.85546875" style="149" customWidth="1"/>
    <col min="6663" max="6664" width="6" style="149" customWidth="1"/>
    <col min="6665" max="6666" width="9.140625" style="149" customWidth="1"/>
    <col min="6667" max="6668" width="6" style="149" customWidth="1"/>
    <col min="6669" max="6670" width="8.140625" style="149" customWidth="1"/>
    <col min="6671" max="6672" width="7" style="149" customWidth="1"/>
    <col min="6673" max="6674" width="6.7109375" style="149" customWidth="1"/>
    <col min="6675" max="6676" width="8.85546875" style="149" customWidth="1"/>
    <col min="6677" max="6678" width="7.5703125" style="149" customWidth="1"/>
    <col min="6679" max="6680" width="7.7109375" style="149" customWidth="1"/>
    <col min="6681" max="6897" width="9.140625" style="149"/>
    <col min="6898" max="6898" width="10.140625" style="149" customWidth="1"/>
    <col min="6899" max="6899" width="17.28515625" style="149" customWidth="1"/>
    <col min="6900" max="6900" width="9.42578125" style="149" customWidth="1"/>
    <col min="6901" max="6902" width="9" style="149" customWidth="1"/>
    <col min="6903" max="6904" width="7" style="149" customWidth="1"/>
    <col min="6905" max="6906" width="8.28515625" style="149" customWidth="1"/>
    <col min="6907" max="6916" width="7" style="149" customWidth="1"/>
    <col min="6917" max="6918" width="6.85546875" style="149" customWidth="1"/>
    <col min="6919" max="6920" width="6" style="149" customWidth="1"/>
    <col min="6921" max="6922" width="9.140625" style="149" customWidth="1"/>
    <col min="6923" max="6924" width="6" style="149" customWidth="1"/>
    <col min="6925" max="6926" width="8.140625" style="149" customWidth="1"/>
    <col min="6927" max="6928" width="7" style="149" customWidth="1"/>
    <col min="6929" max="6930" width="6.7109375" style="149" customWidth="1"/>
    <col min="6931" max="6932" width="8.85546875" style="149" customWidth="1"/>
    <col min="6933" max="6934" width="7.5703125" style="149" customWidth="1"/>
    <col min="6935" max="6936" width="7.7109375" style="149" customWidth="1"/>
    <col min="6937" max="7153" width="9.140625" style="149"/>
    <col min="7154" max="7154" width="10.140625" style="149" customWidth="1"/>
    <col min="7155" max="7155" width="17.28515625" style="149" customWidth="1"/>
    <col min="7156" max="7156" width="9.42578125" style="149" customWidth="1"/>
    <col min="7157" max="7158" width="9" style="149" customWidth="1"/>
    <col min="7159" max="7160" width="7" style="149" customWidth="1"/>
    <col min="7161" max="7162" width="8.28515625" style="149" customWidth="1"/>
    <col min="7163" max="7172" width="7" style="149" customWidth="1"/>
    <col min="7173" max="7174" width="6.85546875" style="149" customWidth="1"/>
    <col min="7175" max="7176" width="6" style="149" customWidth="1"/>
    <col min="7177" max="7178" width="9.140625" style="149" customWidth="1"/>
    <col min="7179" max="7180" width="6" style="149" customWidth="1"/>
    <col min="7181" max="7182" width="8.140625" style="149" customWidth="1"/>
    <col min="7183" max="7184" width="7" style="149" customWidth="1"/>
    <col min="7185" max="7186" width="6.7109375" style="149" customWidth="1"/>
    <col min="7187" max="7188" width="8.85546875" style="149" customWidth="1"/>
    <col min="7189" max="7190" width="7.5703125" style="149" customWidth="1"/>
    <col min="7191" max="7192" width="7.7109375" style="149" customWidth="1"/>
    <col min="7193" max="7409" width="9.140625" style="149"/>
    <col min="7410" max="7410" width="10.140625" style="149" customWidth="1"/>
    <col min="7411" max="7411" width="17.28515625" style="149" customWidth="1"/>
    <col min="7412" max="7412" width="9.42578125" style="149" customWidth="1"/>
    <col min="7413" max="7414" width="9" style="149" customWidth="1"/>
    <col min="7415" max="7416" width="7" style="149" customWidth="1"/>
    <col min="7417" max="7418" width="8.28515625" style="149" customWidth="1"/>
    <col min="7419" max="7428" width="7" style="149" customWidth="1"/>
    <col min="7429" max="7430" width="6.85546875" style="149" customWidth="1"/>
    <col min="7431" max="7432" width="6" style="149" customWidth="1"/>
    <col min="7433" max="7434" width="9.140625" style="149" customWidth="1"/>
    <col min="7435" max="7436" width="6" style="149" customWidth="1"/>
    <col min="7437" max="7438" width="8.140625" style="149" customWidth="1"/>
    <col min="7439" max="7440" width="7" style="149" customWidth="1"/>
    <col min="7441" max="7442" width="6.7109375" style="149" customWidth="1"/>
    <col min="7443" max="7444" width="8.85546875" style="149" customWidth="1"/>
    <col min="7445" max="7446" width="7.5703125" style="149" customWidth="1"/>
    <col min="7447" max="7448" width="7.7109375" style="149" customWidth="1"/>
    <col min="7449" max="7665" width="9.140625" style="149"/>
    <col min="7666" max="7666" width="10.140625" style="149" customWidth="1"/>
    <col min="7667" max="7667" width="17.28515625" style="149" customWidth="1"/>
    <col min="7668" max="7668" width="9.42578125" style="149" customWidth="1"/>
    <col min="7669" max="7670" width="9" style="149" customWidth="1"/>
    <col min="7671" max="7672" width="7" style="149" customWidth="1"/>
    <col min="7673" max="7674" width="8.28515625" style="149" customWidth="1"/>
    <col min="7675" max="7684" width="7" style="149" customWidth="1"/>
    <col min="7685" max="7686" width="6.85546875" style="149" customWidth="1"/>
    <col min="7687" max="7688" width="6" style="149" customWidth="1"/>
    <col min="7689" max="7690" width="9.140625" style="149" customWidth="1"/>
    <col min="7691" max="7692" width="6" style="149" customWidth="1"/>
    <col min="7693" max="7694" width="8.140625" style="149" customWidth="1"/>
    <col min="7695" max="7696" width="7" style="149" customWidth="1"/>
    <col min="7697" max="7698" width="6.7109375" style="149" customWidth="1"/>
    <col min="7699" max="7700" width="8.85546875" style="149" customWidth="1"/>
    <col min="7701" max="7702" width="7.5703125" style="149" customWidth="1"/>
    <col min="7703" max="7704" width="7.7109375" style="149" customWidth="1"/>
    <col min="7705" max="7921" width="9.140625" style="149"/>
    <col min="7922" max="7922" width="10.140625" style="149" customWidth="1"/>
    <col min="7923" max="7923" width="17.28515625" style="149" customWidth="1"/>
    <col min="7924" max="7924" width="9.42578125" style="149" customWidth="1"/>
    <col min="7925" max="7926" width="9" style="149" customWidth="1"/>
    <col min="7927" max="7928" width="7" style="149" customWidth="1"/>
    <col min="7929" max="7930" width="8.28515625" style="149" customWidth="1"/>
    <col min="7931" max="7940" width="7" style="149" customWidth="1"/>
    <col min="7941" max="7942" width="6.85546875" style="149" customWidth="1"/>
    <col min="7943" max="7944" width="6" style="149" customWidth="1"/>
    <col min="7945" max="7946" width="9.140625" style="149" customWidth="1"/>
    <col min="7947" max="7948" width="6" style="149" customWidth="1"/>
    <col min="7949" max="7950" width="8.140625" style="149" customWidth="1"/>
    <col min="7951" max="7952" width="7" style="149" customWidth="1"/>
    <col min="7953" max="7954" width="6.7109375" style="149" customWidth="1"/>
    <col min="7955" max="7956" width="8.85546875" style="149" customWidth="1"/>
    <col min="7957" max="7958" width="7.5703125" style="149" customWidth="1"/>
    <col min="7959" max="7960" width="7.7109375" style="149" customWidth="1"/>
    <col min="7961" max="8177" width="9.140625" style="149"/>
    <col min="8178" max="8178" width="10.140625" style="149" customWidth="1"/>
    <col min="8179" max="8179" width="17.28515625" style="149" customWidth="1"/>
    <col min="8180" max="8180" width="9.42578125" style="149" customWidth="1"/>
    <col min="8181" max="8182" width="9" style="149" customWidth="1"/>
    <col min="8183" max="8184" width="7" style="149" customWidth="1"/>
    <col min="8185" max="8186" width="8.28515625" style="149" customWidth="1"/>
    <col min="8187" max="8196" width="7" style="149" customWidth="1"/>
    <col min="8197" max="8198" width="6.85546875" style="149" customWidth="1"/>
    <col min="8199" max="8200" width="6" style="149" customWidth="1"/>
    <col min="8201" max="8202" width="9.140625" style="149" customWidth="1"/>
    <col min="8203" max="8204" width="6" style="149" customWidth="1"/>
    <col min="8205" max="8206" width="8.140625" style="149" customWidth="1"/>
    <col min="8207" max="8208" width="7" style="149" customWidth="1"/>
    <col min="8209" max="8210" width="6.7109375" style="149" customWidth="1"/>
    <col min="8211" max="8212" width="8.85546875" style="149" customWidth="1"/>
    <col min="8213" max="8214" width="7.5703125" style="149" customWidth="1"/>
    <col min="8215" max="8216" width="7.7109375" style="149" customWidth="1"/>
    <col min="8217" max="8433" width="9.140625" style="149"/>
    <col min="8434" max="8434" width="10.140625" style="149" customWidth="1"/>
    <col min="8435" max="8435" width="17.28515625" style="149" customWidth="1"/>
    <col min="8436" max="8436" width="9.42578125" style="149" customWidth="1"/>
    <col min="8437" max="8438" width="9" style="149" customWidth="1"/>
    <col min="8439" max="8440" width="7" style="149" customWidth="1"/>
    <col min="8441" max="8442" width="8.28515625" style="149" customWidth="1"/>
    <col min="8443" max="8452" width="7" style="149" customWidth="1"/>
    <col min="8453" max="8454" width="6.85546875" style="149" customWidth="1"/>
    <col min="8455" max="8456" width="6" style="149" customWidth="1"/>
    <col min="8457" max="8458" width="9.140625" style="149" customWidth="1"/>
    <col min="8459" max="8460" width="6" style="149" customWidth="1"/>
    <col min="8461" max="8462" width="8.140625" style="149" customWidth="1"/>
    <col min="8463" max="8464" width="7" style="149" customWidth="1"/>
    <col min="8465" max="8466" width="6.7109375" style="149" customWidth="1"/>
    <col min="8467" max="8468" width="8.85546875" style="149" customWidth="1"/>
    <col min="8469" max="8470" width="7.5703125" style="149" customWidth="1"/>
    <col min="8471" max="8472" width="7.7109375" style="149" customWidth="1"/>
    <col min="8473" max="8689" width="9.140625" style="149"/>
    <col min="8690" max="8690" width="10.140625" style="149" customWidth="1"/>
    <col min="8691" max="8691" width="17.28515625" style="149" customWidth="1"/>
    <col min="8692" max="8692" width="9.42578125" style="149" customWidth="1"/>
    <col min="8693" max="8694" width="9" style="149" customWidth="1"/>
    <col min="8695" max="8696" width="7" style="149" customWidth="1"/>
    <col min="8697" max="8698" width="8.28515625" style="149" customWidth="1"/>
    <col min="8699" max="8708" width="7" style="149" customWidth="1"/>
    <col min="8709" max="8710" width="6.85546875" style="149" customWidth="1"/>
    <col min="8711" max="8712" width="6" style="149" customWidth="1"/>
    <col min="8713" max="8714" width="9.140625" style="149" customWidth="1"/>
    <col min="8715" max="8716" width="6" style="149" customWidth="1"/>
    <col min="8717" max="8718" width="8.140625" style="149" customWidth="1"/>
    <col min="8719" max="8720" width="7" style="149" customWidth="1"/>
    <col min="8721" max="8722" width="6.7109375" style="149" customWidth="1"/>
    <col min="8723" max="8724" width="8.85546875" style="149" customWidth="1"/>
    <col min="8725" max="8726" width="7.5703125" style="149" customWidth="1"/>
    <col min="8727" max="8728" width="7.7109375" style="149" customWidth="1"/>
    <col min="8729" max="8945" width="9.140625" style="149"/>
    <col min="8946" max="8946" width="10.140625" style="149" customWidth="1"/>
    <col min="8947" max="8947" width="17.28515625" style="149" customWidth="1"/>
    <col min="8948" max="8948" width="9.42578125" style="149" customWidth="1"/>
    <col min="8949" max="8950" width="9" style="149" customWidth="1"/>
    <col min="8951" max="8952" width="7" style="149" customWidth="1"/>
    <col min="8953" max="8954" width="8.28515625" style="149" customWidth="1"/>
    <col min="8955" max="8964" width="7" style="149" customWidth="1"/>
    <col min="8965" max="8966" width="6.85546875" style="149" customWidth="1"/>
    <col min="8967" max="8968" width="6" style="149" customWidth="1"/>
    <col min="8969" max="8970" width="9.140625" style="149" customWidth="1"/>
    <col min="8971" max="8972" width="6" style="149" customWidth="1"/>
    <col min="8973" max="8974" width="8.140625" style="149" customWidth="1"/>
    <col min="8975" max="8976" width="7" style="149" customWidth="1"/>
    <col min="8977" max="8978" width="6.7109375" style="149" customWidth="1"/>
    <col min="8979" max="8980" width="8.85546875" style="149" customWidth="1"/>
    <col min="8981" max="8982" width="7.5703125" style="149" customWidth="1"/>
    <col min="8983" max="8984" width="7.7109375" style="149" customWidth="1"/>
    <col min="8985" max="9201" width="9.140625" style="149"/>
    <col min="9202" max="9202" width="10.140625" style="149" customWidth="1"/>
    <col min="9203" max="9203" width="17.28515625" style="149" customWidth="1"/>
    <col min="9204" max="9204" width="9.42578125" style="149" customWidth="1"/>
    <col min="9205" max="9206" width="9" style="149" customWidth="1"/>
    <col min="9207" max="9208" width="7" style="149" customWidth="1"/>
    <col min="9209" max="9210" width="8.28515625" style="149" customWidth="1"/>
    <col min="9211" max="9220" width="7" style="149" customWidth="1"/>
    <col min="9221" max="9222" width="6.85546875" style="149" customWidth="1"/>
    <col min="9223" max="9224" width="6" style="149" customWidth="1"/>
    <col min="9225" max="9226" width="9.140625" style="149" customWidth="1"/>
    <col min="9227" max="9228" width="6" style="149" customWidth="1"/>
    <col min="9229" max="9230" width="8.140625" style="149" customWidth="1"/>
    <col min="9231" max="9232" width="7" style="149" customWidth="1"/>
    <col min="9233" max="9234" width="6.7109375" style="149" customWidth="1"/>
    <col min="9235" max="9236" width="8.85546875" style="149" customWidth="1"/>
    <col min="9237" max="9238" width="7.5703125" style="149" customWidth="1"/>
    <col min="9239" max="9240" width="7.7109375" style="149" customWidth="1"/>
    <col min="9241" max="9457" width="9.140625" style="149"/>
    <col min="9458" max="9458" width="10.140625" style="149" customWidth="1"/>
    <col min="9459" max="9459" width="17.28515625" style="149" customWidth="1"/>
    <col min="9460" max="9460" width="9.42578125" style="149" customWidth="1"/>
    <col min="9461" max="9462" width="9" style="149" customWidth="1"/>
    <col min="9463" max="9464" width="7" style="149" customWidth="1"/>
    <col min="9465" max="9466" width="8.28515625" style="149" customWidth="1"/>
    <col min="9467" max="9476" width="7" style="149" customWidth="1"/>
    <col min="9477" max="9478" width="6.85546875" style="149" customWidth="1"/>
    <col min="9479" max="9480" width="6" style="149" customWidth="1"/>
    <col min="9481" max="9482" width="9.140625" style="149" customWidth="1"/>
    <col min="9483" max="9484" width="6" style="149" customWidth="1"/>
    <col min="9485" max="9486" width="8.140625" style="149" customWidth="1"/>
    <col min="9487" max="9488" width="7" style="149" customWidth="1"/>
    <col min="9489" max="9490" width="6.7109375" style="149" customWidth="1"/>
    <col min="9491" max="9492" width="8.85546875" style="149" customWidth="1"/>
    <col min="9493" max="9494" width="7.5703125" style="149" customWidth="1"/>
    <col min="9495" max="9496" width="7.7109375" style="149" customWidth="1"/>
    <col min="9497" max="9713" width="9.140625" style="149"/>
    <col min="9714" max="9714" width="10.140625" style="149" customWidth="1"/>
    <col min="9715" max="9715" width="17.28515625" style="149" customWidth="1"/>
    <col min="9716" max="9716" width="9.42578125" style="149" customWidth="1"/>
    <col min="9717" max="9718" width="9" style="149" customWidth="1"/>
    <col min="9719" max="9720" width="7" style="149" customWidth="1"/>
    <col min="9721" max="9722" width="8.28515625" style="149" customWidth="1"/>
    <col min="9723" max="9732" width="7" style="149" customWidth="1"/>
    <col min="9733" max="9734" width="6.85546875" style="149" customWidth="1"/>
    <col min="9735" max="9736" width="6" style="149" customWidth="1"/>
    <col min="9737" max="9738" width="9.140625" style="149" customWidth="1"/>
    <col min="9739" max="9740" width="6" style="149" customWidth="1"/>
    <col min="9741" max="9742" width="8.140625" style="149" customWidth="1"/>
    <col min="9743" max="9744" width="7" style="149" customWidth="1"/>
    <col min="9745" max="9746" width="6.7109375" style="149" customWidth="1"/>
    <col min="9747" max="9748" width="8.85546875" style="149" customWidth="1"/>
    <col min="9749" max="9750" width="7.5703125" style="149" customWidth="1"/>
    <col min="9751" max="9752" width="7.7109375" style="149" customWidth="1"/>
    <col min="9753" max="9969" width="9.140625" style="149"/>
    <col min="9970" max="9970" width="10.140625" style="149" customWidth="1"/>
    <col min="9971" max="9971" width="17.28515625" style="149" customWidth="1"/>
    <col min="9972" max="9972" width="9.42578125" style="149" customWidth="1"/>
    <col min="9973" max="9974" width="9" style="149" customWidth="1"/>
    <col min="9975" max="9976" width="7" style="149" customWidth="1"/>
    <col min="9977" max="9978" width="8.28515625" style="149" customWidth="1"/>
    <col min="9979" max="9988" width="7" style="149" customWidth="1"/>
    <col min="9989" max="9990" width="6.85546875" style="149" customWidth="1"/>
    <col min="9991" max="9992" width="6" style="149" customWidth="1"/>
    <col min="9993" max="9994" width="9.140625" style="149" customWidth="1"/>
    <col min="9995" max="9996" width="6" style="149" customWidth="1"/>
    <col min="9997" max="9998" width="8.140625" style="149" customWidth="1"/>
    <col min="9999" max="10000" width="7" style="149" customWidth="1"/>
    <col min="10001" max="10002" width="6.7109375" style="149" customWidth="1"/>
    <col min="10003" max="10004" width="8.85546875" style="149" customWidth="1"/>
    <col min="10005" max="10006" width="7.5703125" style="149" customWidth="1"/>
    <col min="10007" max="10008" width="7.7109375" style="149" customWidth="1"/>
    <col min="10009" max="10225" width="9.140625" style="149"/>
    <col min="10226" max="10226" width="10.140625" style="149" customWidth="1"/>
    <col min="10227" max="10227" width="17.28515625" style="149" customWidth="1"/>
    <col min="10228" max="10228" width="9.42578125" style="149" customWidth="1"/>
    <col min="10229" max="10230" width="9" style="149" customWidth="1"/>
    <col min="10231" max="10232" width="7" style="149" customWidth="1"/>
    <col min="10233" max="10234" width="8.28515625" style="149" customWidth="1"/>
    <col min="10235" max="10244" width="7" style="149" customWidth="1"/>
    <col min="10245" max="10246" width="6.85546875" style="149" customWidth="1"/>
    <col min="10247" max="10248" width="6" style="149" customWidth="1"/>
    <col min="10249" max="10250" width="9.140625" style="149" customWidth="1"/>
    <col min="10251" max="10252" width="6" style="149" customWidth="1"/>
    <col min="10253" max="10254" width="8.140625" style="149" customWidth="1"/>
    <col min="10255" max="10256" width="7" style="149" customWidth="1"/>
    <col min="10257" max="10258" width="6.7109375" style="149" customWidth="1"/>
    <col min="10259" max="10260" width="8.85546875" style="149" customWidth="1"/>
    <col min="10261" max="10262" width="7.5703125" style="149" customWidth="1"/>
    <col min="10263" max="10264" width="7.7109375" style="149" customWidth="1"/>
    <col min="10265" max="10481" width="9.140625" style="149"/>
    <col min="10482" max="10482" width="10.140625" style="149" customWidth="1"/>
    <col min="10483" max="10483" width="17.28515625" style="149" customWidth="1"/>
    <col min="10484" max="10484" width="9.42578125" style="149" customWidth="1"/>
    <col min="10485" max="10486" width="9" style="149" customWidth="1"/>
    <col min="10487" max="10488" width="7" style="149" customWidth="1"/>
    <col min="10489" max="10490" width="8.28515625" style="149" customWidth="1"/>
    <col min="10491" max="10500" width="7" style="149" customWidth="1"/>
    <col min="10501" max="10502" width="6.85546875" style="149" customWidth="1"/>
    <col min="10503" max="10504" width="6" style="149" customWidth="1"/>
    <col min="10505" max="10506" width="9.140625" style="149" customWidth="1"/>
    <col min="10507" max="10508" width="6" style="149" customWidth="1"/>
    <col min="10509" max="10510" width="8.140625" style="149" customWidth="1"/>
    <col min="10511" max="10512" width="7" style="149" customWidth="1"/>
    <col min="10513" max="10514" width="6.7109375" style="149" customWidth="1"/>
    <col min="10515" max="10516" width="8.85546875" style="149" customWidth="1"/>
    <col min="10517" max="10518" width="7.5703125" style="149" customWidth="1"/>
    <col min="10519" max="10520" width="7.7109375" style="149" customWidth="1"/>
    <col min="10521" max="10737" width="9.140625" style="149"/>
    <col min="10738" max="10738" width="10.140625" style="149" customWidth="1"/>
    <col min="10739" max="10739" width="17.28515625" style="149" customWidth="1"/>
    <col min="10740" max="10740" width="9.42578125" style="149" customWidth="1"/>
    <col min="10741" max="10742" width="9" style="149" customWidth="1"/>
    <col min="10743" max="10744" width="7" style="149" customWidth="1"/>
    <col min="10745" max="10746" width="8.28515625" style="149" customWidth="1"/>
    <col min="10747" max="10756" width="7" style="149" customWidth="1"/>
    <col min="10757" max="10758" width="6.85546875" style="149" customWidth="1"/>
    <col min="10759" max="10760" width="6" style="149" customWidth="1"/>
    <col min="10761" max="10762" width="9.140625" style="149" customWidth="1"/>
    <col min="10763" max="10764" width="6" style="149" customWidth="1"/>
    <col min="10765" max="10766" width="8.140625" style="149" customWidth="1"/>
    <col min="10767" max="10768" width="7" style="149" customWidth="1"/>
    <col min="10769" max="10770" width="6.7109375" style="149" customWidth="1"/>
    <col min="10771" max="10772" width="8.85546875" style="149" customWidth="1"/>
    <col min="10773" max="10774" width="7.5703125" style="149" customWidth="1"/>
    <col min="10775" max="10776" width="7.7109375" style="149" customWidth="1"/>
    <col min="10777" max="10993" width="9.140625" style="149"/>
    <col min="10994" max="10994" width="10.140625" style="149" customWidth="1"/>
    <col min="10995" max="10995" width="17.28515625" style="149" customWidth="1"/>
    <col min="10996" max="10996" width="9.42578125" style="149" customWidth="1"/>
    <col min="10997" max="10998" width="9" style="149" customWidth="1"/>
    <col min="10999" max="11000" width="7" style="149" customWidth="1"/>
    <col min="11001" max="11002" width="8.28515625" style="149" customWidth="1"/>
    <col min="11003" max="11012" width="7" style="149" customWidth="1"/>
    <col min="11013" max="11014" width="6.85546875" style="149" customWidth="1"/>
    <col min="11015" max="11016" width="6" style="149" customWidth="1"/>
    <col min="11017" max="11018" width="9.140625" style="149" customWidth="1"/>
    <col min="11019" max="11020" width="6" style="149" customWidth="1"/>
    <col min="11021" max="11022" width="8.140625" style="149" customWidth="1"/>
    <col min="11023" max="11024" width="7" style="149" customWidth="1"/>
    <col min="11025" max="11026" width="6.7109375" style="149" customWidth="1"/>
    <col min="11027" max="11028" width="8.85546875" style="149" customWidth="1"/>
    <col min="11029" max="11030" width="7.5703125" style="149" customWidth="1"/>
    <col min="11031" max="11032" width="7.7109375" style="149" customWidth="1"/>
    <col min="11033" max="11249" width="9.140625" style="149"/>
    <col min="11250" max="11250" width="10.140625" style="149" customWidth="1"/>
    <col min="11251" max="11251" width="17.28515625" style="149" customWidth="1"/>
    <col min="11252" max="11252" width="9.42578125" style="149" customWidth="1"/>
    <col min="11253" max="11254" width="9" style="149" customWidth="1"/>
    <col min="11255" max="11256" width="7" style="149" customWidth="1"/>
    <col min="11257" max="11258" width="8.28515625" style="149" customWidth="1"/>
    <col min="11259" max="11268" width="7" style="149" customWidth="1"/>
    <col min="11269" max="11270" width="6.85546875" style="149" customWidth="1"/>
    <col min="11271" max="11272" width="6" style="149" customWidth="1"/>
    <col min="11273" max="11274" width="9.140625" style="149" customWidth="1"/>
    <col min="11275" max="11276" width="6" style="149" customWidth="1"/>
    <col min="11277" max="11278" width="8.140625" style="149" customWidth="1"/>
    <col min="11279" max="11280" width="7" style="149" customWidth="1"/>
    <col min="11281" max="11282" width="6.7109375" style="149" customWidth="1"/>
    <col min="11283" max="11284" width="8.85546875" style="149" customWidth="1"/>
    <col min="11285" max="11286" width="7.5703125" style="149" customWidth="1"/>
    <col min="11287" max="11288" width="7.7109375" style="149" customWidth="1"/>
    <col min="11289" max="11505" width="9.140625" style="149"/>
    <col min="11506" max="11506" width="10.140625" style="149" customWidth="1"/>
    <col min="11507" max="11507" width="17.28515625" style="149" customWidth="1"/>
    <col min="11508" max="11508" width="9.42578125" style="149" customWidth="1"/>
    <col min="11509" max="11510" width="9" style="149" customWidth="1"/>
    <col min="11511" max="11512" width="7" style="149" customWidth="1"/>
    <col min="11513" max="11514" width="8.28515625" style="149" customWidth="1"/>
    <col min="11515" max="11524" width="7" style="149" customWidth="1"/>
    <col min="11525" max="11526" width="6.85546875" style="149" customWidth="1"/>
    <col min="11527" max="11528" width="6" style="149" customWidth="1"/>
    <col min="11529" max="11530" width="9.140625" style="149" customWidth="1"/>
    <col min="11531" max="11532" width="6" style="149" customWidth="1"/>
    <col min="11533" max="11534" width="8.140625" style="149" customWidth="1"/>
    <col min="11535" max="11536" width="7" style="149" customWidth="1"/>
    <col min="11537" max="11538" width="6.7109375" style="149" customWidth="1"/>
    <col min="11539" max="11540" width="8.85546875" style="149" customWidth="1"/>
    <col min="11541" max="11542" width="7.5703125" style="149" customWidth="1"/>
    <col min="11543" max="11544" width="7.7109375" style="149" customWidth="1"/>
    <col min="11545" max="11761" width="9.140625" style="149"/>
    <col min="11762" max="11762" width="10.140625" style="149" customWidth="1"/>
    <col min="11763" max="11763" width="17.28515625" style="149" customWidth="1"/>
    <col min="11764" max="11764" width="9.42578125" style="149" customWidth="1"/>
    <col min="11765" max="11766" width="9" style="149" customWidth="1"/>
    <col min="11767" max="11768" width="7" style="149" customWidth="1"/>
    <col min="11769" max="11770" width="8.28515625" style="149" customWidth="1"/>
    <col min="11771" max="11780" width="7" style="149" customWidth="1"/>
    <col min="11781" max="11782" width="6.85546875" style="149" customWidth="1"/>
    <col min="11783" max="11784" width="6" style="149" customWidth="1"/>
    <col min="11785" max="11786" width="9.140625" style="149" customWidth="1"/>
    <col min="11787" max="11788" width="6" style="149" customWidth="1"/>
    <col min="11789" max="11790" width="8.140625" style="149" customWidth="1"/>
    <col min="11791" max="11792" width="7" style="149" customWidth="1"/>
    <col min="11793" max="11794" width="6.7109375" style="149" customWidth="1"/>
    <col min="11795" max="11796" width="8.85546875" style="149" customWidth="1"/>
    <col min="11797" max="11798" width="7.5703125" style="149" customWidth="1"/>
    <col min="11799" max="11800" width="7.7109375" style="149" customWidth="1"/>
    <col min="11801" max="12017" width="9.140625" style="149"/>
    <col min="12018" max="12018" width="10.140625" style="149" customWidth="1"/>
    <col min="12019" max="12019" width="17.28515625" style="149" customWidth="1"/>
    <col min="12020" max="12020" width="9.42578125" style="149" customWidth="1"/>
    <col min="12021" max="12022" width="9" style="149" customWidth="1"/>
    <col min="12023" max="12024" width="7" style="149" customWidth="1"/>
    <col min="12025" max="12026" width="8.28515625" style="149" customWidth="1"/>
    <col min="12027" max="12036" width="7" style="149" customWidth="1"/>
    <col min="12037" max="12038" width="6.85546875" style="149" customWidth="1"/>
    <col min="12039" max="12040" width="6" style="149" customWidth="1"/>
    <col min="12041" max="12042" width="9.140625" style="149" customWidth="1"/>
    <col min="12043" max="12044" width="6" style="149" customWidth="1"/>
    <col min="12045" max="12046" width="8.140625" style="149" customWidth="1"/>
    <col min="12047" max="12048" width="7" style="149" customWidth="1"/>
    <col min="12049" max="12050" width="6.7109375" style="149" customWidth="1"/>
    <col min="12051" max="12052" width="8.85546875" style="149" customWidth="1"/>
    <col min="12053" max="12054" width="7.5703125" style="149" customWidth="1"/>
    <col min="12055" max="12056" width="7.7109375" style="149" customWidth="1"/>
    <col min="12057" max="12273" width="9.140625" style="149"/>
    <col min="12274" max="12274" width="10.140625" style="149" customWidth="1"/>
    <col min="12275" max="12275" width="17.28515625" style="149" customWidth="1"/>
    <col min="12276" max="12276" width="9.42578125" style="149" customWidth="1"/>
    <col min="12277" max="12278" width="9" style="149" customWidth="1"/>
    <col min="12279" max="12280" width="7" style="149" customWidth="1"/>
    <col min="12281" max="12282" width="8.28515625" style="149" customWidth="1"/>
    <col min="12283" max="12292" width="7" style="149" customWidth="1"/>
    <col min="12293" max="12294" width="6.85546875" style="149" customWidth="1"/>
    <col min="12295" max="12296" width="6" style="149" customWidth="1"/>
    <col min="12297" max="12298" width="9.140625" style="149" customWidth="1"/>
    <col min="12299" max="12300" width="6" style="149" customWidth="1"/>
    <col min="12301" max="12302" width="8.140625" style="149" customWidth="1"/>
    <col min="12303" max="12304" width="7" style="149" customWidth="1"/>
    <col min="12305" max="12306" width="6.7109375" style="149" customWidth="1"/>
    <col min="12307" max="12308" width="8.85546875" style="149" customWidth="1"/>
    <col min="12309" max="12310" width="7.5703125" style="149" customWidth="1"/>
    <col min="12311" max="12312" width="7.7109375" style="149" customWidth="1"/>
    <col min="12313" max="12529" width="9.140625" style="149"/>
    <col min="12530" max="12530" width="10.140625" style="149" customWidth="1"/>
    <col min="12531" max="12531" width="17.28515625" style="149" customWidth="1"/>
    <col min="12532" max="12532" width="9.42578125" style="149" customWidth="1"/>
    <col min="12533" max="12534" width="9" style="149" customWidth="1"/>
    <col min="12535" max="12536" width="7" style="149" customWidth="1"/>
    <col min="12537" max="12538" width="8.28515625" style="149" customWidth="1"/>
    <col min="12539" max="12548" width="7" style="149" customWidth="1"/>
    <col min="12549" max="12550" width="6.85546875" style="149" customWidth="1"/>
    <col min="12551" max="12552" width="6" style="149" customWidth="1"/>
    <col min="12553" max="12554" width="9.140625" style="149" customWidth="1"/>
    <col min="12555" max="12556" width="6" style="149" customWidth="1"/>
    <col min="12557" max="12558" width="8.140625" style="149" customWidth="1"/>
    <col min="12559" max="12560" width="7" style="149" customWidth="1"/>
    <col min="12561" max="12562" width="6.7109375" style="149" customWidth="1"/>
    <col min="12563" max="12564" width="8.85546875" style="149" customWidth="1"/>
    <col min="12565" max="12566" width="7.5703125" style="149" customWidth="1"/>
    <col min="12567" max="12568" width="7.7109375" style="149" customWidth="1"/>
    <col min="12569" max="12785" width="9.140625" style="149"/>
    <col min="12786" max="12786" width="10.140625" style="149" customWidth="1"/>
    <col min="12787" max="12787" width="17.28515625" style="149" customWidth="1"/>
    <col min="12788" max="12788" width="9.42578125" style="149" customWidth="1"/>
    <col min="12789" max="12790" width="9" style="149" customWidth="1"/>
    <col min="12791" max="12792" width="7" style="149" customWidth="1"/>
    <col min="12793" max="12794" width="8.28515625" style="149" customWidth="1"/>
    <col min="12795" max="12804" width="7" style="149" customWidth="1"/>
    <col min="12805" max="12806" width="6.85546875" style="149" customWidth="1"/>
    <col min="12807" max="12808" width="6" style="149" customWidth="1"/>
    <col min="12809" max="12810" width="9.140625" style="149" customWidth="1"/>
    <col min="12811" max="12812" width="6" style="149" customWidth="1"/>
    <col min="12813" max="12814" width="8.140625" style="149" customWidth="1"/>
    <col min="12815" max="12816" width="7" style="149" customWidth="1"/>
    <col min="12817" max="12818" width="6.7109375" style="149" customWidth="1"/>
    <col min="12819" max="12820" width="8.85546875" style="149" customWidth="1"/>
    <col min="12821" max="12822" width="7.5703125" style="149" customWidth="1"/>
    <col min="12823" max="12824" width="7.7109375" style="149" customWidth="1"/>
    <col min="12825" max="13041" width="9.140625" style="149"/>
    <col min="13042" max="13042" width="10.140625" style="149" customWidth="1"/>
    <col min="13043" max="13043" width="17.28515625" style="149" customWidth="1"/>
    <col min="13044" max="13044" width="9.42578125" style="149" customWidth="1"/>
    <col min="13045" max="13046" width="9" style="149" customWidth="1"/>
    <col min="13047" max="13048" width="7" style="149" customWidth="1"/>
    <col min="13049" max="13050" width="8.28515625" style="149" customWidth="1"/>
    <col min="13051" max="13060" width="7" style="149" customWidth="1"/>
    <col min="13061" max="13062" width="6.85546875" style="149" customWidth="1"/>
    <col min="13063" max="13064" width="6" style="149" customWidth="1"/>
    <col min="13065" max="13066" width="9.140625" style="149" customWidth="1"/>
    <col min="13067" max="13068" width="6" style="149" customWidth="1"/>
    <col min="13069" max="13070" width="8.140625" style="149" customWidth="1"/>
    <col min="13071" max="13072" width="7" style="149" customWidth="1"/>
    <col min="13073" max="13074" width="6.7109375" style="149" customWidth="1"/>
    <col min="13075" max="13076" width="8.85546875" style="149" customWidth="1"/>
    <col min="13077" max="13078" width="7.5703125" style="149" customWidth="1"/>
    <col min="13079" max="13080" width="7.7109375" style="149" customWidth="1"/>
    <col min="13081" max="13297" width="9.140625" style="149"/>
    <col min="13298" max="13298" width="10.140625" style="149" customWidth="1"/>
    <col min="13299" max="13299" width="17.28515625" style="149" customWidth="1"/>
    <col min="13300" max="13300" width="9.42578125" style="149" customWidth="1"/>
    <col min="13301" max="13302" width="9" style="149" customWidth="1"/>
    <col min="13303" max="13304" width="7" style="149" customWidth="1"/>
    <col min="13305" max="13306" width="8.28515625" style="149" customWidth="1"/>
    <col min="13307" max="13316" width="7" style="149" customWidth="1"/>
    <col min="13317" max="13318" width="6.85546875" style="149" customWidth="1"/>
    <col min="13319" max="13320" width="6" style="149" customWidth="1"/>
    <col min="13321" max="13322" width="9.140625" style="149" customWidth="1"/>
    <col min="13323" max="13324" width="6" style="149" customWidth="1"/>
    <col min="13325" max="13326" width="8.140625" style="149" customWidth="1"/>
    <col min="13327" max="13328" width="7" style="149" customWidth="1"/>
    <col min="13329" max="13330" width="6.7109375" style="149" customWidth="1"/>
    <col min="13331" max="13332" width="8.85546875" style="149" customWidth="1"/>
    <col min="13333" max="13334" width="7.5703125" style="149" customWidth="1"/>
    <col min="13335" max="13336" width="7.7109375" style="149" customWidth="1"/>
    <col min="13337" max="13553" width="9.140625" style="149"/>
    <col min="13554" max="13554" width="10.140625" style="149" customWidth="1"/>
    <col min="13555" max="13555" width="17.28515625" style="149" customWidth="1"/>
    <col min="13556" max="13556" width="9.42578125" style="149" customWidth="1"/>
    <col min="13557" max="13558" width="9" style="149" customWidth="1"/>
    <col min="13559" max="13560" width="7" style="149" customWidth="1"/>
    <col min="13561" max="13562" width="8.28515625" style="149" customWidth="1"/>
    <col min="13563" max="13572" width="7" style="149" customWidth="1"/>
    <col min="13573" max="13574" width="6.85546875" style="149" customWidth="1"/>
    <col min="13575" max="13576" width="6" style="149" customWidth="1"/>
    <col min="13577" max="13578" width="9.140625" style="149" customWidth="1"/>
    <col min="13579" max="13580" width="6" style="149" customWidth="1"/>
    <col min="13581" max="13582" width="8.140625" style="149" customWidth="1"/>
    <col min="13583" max="13584" width="7" style="149" customWidth="1"/>
    <col min="13585" max="13586" width="6.7109375" style="149" customWidth="1"/>
    <col min="13587" max="13588" width="8.85546875" style="149" customWidth="1"/>
    <col min="13589" max="13590" width="7.5703125" style="149" customWidth="1"/>
    <col min="13591" max="13592" width="7.7109375" style="149" customWidth="1"/>
    <col min="13593" max="13809" width="9.140625" style="149"/>
    <col min="13810" max="13810" width="10.140625" style="149" customWidth="1"/>
    <col min="13811" max="13811" width="17.28515625" style="149" customWidth="1"/>
    <col min="13812" max="13812" width="9.42578125" style="149" customWidth="1"/>
    <col min="13813" max="13814" width="9" style="149" customWidth="1"/>
    <col min="13815" max="13816" width="7" style="149" customWidth="1"/>
    <col min="13817" max="13818" width="8.28515625" style="149" customWidth="1"/>
    <col min="13819" max="13828" width="7" style="149" customWidth="1"/>
    <col min="13829" max="13830" width="6.85546875" style="149" customWidth="1"/>
    <col min="13831" max="13832" width="6" style="149" customWidth="1"/>
    <col min="13833" max="13834" width="9.140625" style="149" customWidth="1"/>
    <col min="13835" max="13836" width="6" style="149" customWidth="1"/>
    <col min="13837" max="13838" width="8.140625" style="149" customWidth="1"/>
    <col min="13839" max="13840" width="7" style="149" customWidth="1"/>
    <col min="13841" max="13842" width="6.7109375" style="149" customWidth="1"/>
    <col min="13843" max="13844" width="8.85546875" style="149" customWidth="1"/>
    <col min="13845" max="13846" width="7.5703125" style="149" customWidth="1"/>
    <col min="13847" max="13848" width="7.7109375" style="149" customWidth="1"/>
    <col min="13849" max="14065" width="9.140625" style="149"/>
    <col min="14066" max="14066" width="10.140625" style="149" customWidth="1"/>
    <col min="14067" max="14067" width="17.28515625" style="149" customWidth="1"/>
    <col min="14068" max="14068" width="9.42578125" style="149" customWidth="1"/>
    <col min="14069" max="14070" width="9" style="149" customWidth="1"/>
    <col min="14071" max="14072" width="7" style="149" customWidth="1"/>
    <col min="14073" max="14074" width="8.28515625" style="149" customWidth="1"/>
    <col min="14075" max="14084" width="7" style="149" customWidth="1"/>
    <col min="14085" max="14086" width="6.85546875" style="149" customWidth="1"/>
    <col min="14087" max="14088" width="6" style="149" customWidth="1"/>
    <col min="14089" max="14090" width="9.140625" style="149" customWidth="1"/>
    <col min="14091" max="14092" width="6" style="149" customWidth="1"/>
    <col min="14093" max="14094" width="8.140625" style="149" customWidth="1"/>
    <col min="14095" max="14096" width="7" style="149" customWidth="1"/>
    <col min="14097" max="14098" width="6.7109375" style="149" customWidth="1"/>
    <col min="14099" max="14100" width="8.85546875" style="149" customWidth="1"/>
    <col min="14101" max="14102" width="7.5703125" style="149" customWidth="1"/>
    <col min="14103" max="14104" width="7.7109375" style="149" customWidth="1"/>
    <col min="14105" max="14321" width="9.140625" style="149"/>
    <col min="14322" max="14322" width="10.140625" style="149" customWidth="1"/>
    <col min="14323" max="14323" width="17.28515625" style="149" customWidth="1"/>
    <col min="14324" max="14324" width="9.42578125" style="149" customWidth="1"/>
    <col min="14325" max="14326" width="9" style="149" customWidth="1"/>
    <col min="14327" max="14328" width="7" style="149" customWidth="1"/>
    <col min="14329" max="14330" width="8.28515625" style="149" customWidth="1"/>
    <col min="14331" max="14340" width="7" style="149" customWidth="1"/>
    <col min="14341" max="14342" width="6.85546875" style="149" customWidth="1"/>
    <col min="14343" max="14344" width="6" style="149" customWidth="1"/>
    <col min="14345" max="14346" width="9.140625" style="149" customWidth="1"/>
    <col min="14347" max="14348" width="6" style="149" customWidth="1"/>
    <col min="14349" max="14350" width="8.140625" style="149" customWidth="1"/>
    <col min="14351" max="14352" width="7" style="149" customWidth="1"/>
    <col min="14353" max="14354" width="6.7109375" style="149" customWidth="1"/>
    <col min="14355" max="14356" width="8.85546875" style="149" customWidth="1"/>
    <col min="14357" max="14358" width="7.5703125" style="149" customWidth="1"/>
    <col min="14359" max="14360" width="7.7109375" style="149" customWidth="1"/>
    <col min="14361" max="14577" width="9.140625" style="149"/>
    <col min="14578" max="14578" width="10.140625" style="149" customWidth="1"/>
    <col min="14579" max="14579" width="17.28515625" style="149" customWidth="1"/>
    <col min="14580" max="14580" width="9.42578125" style="149" customWidth="1"/>
    <col min="14581" max="14582" width="9" style="149" customWidth="1"/>
    <col min="14583" max="14584" width="7" style="149" customWidth="1"/>
    <col min="14585" max="14586" width="8.28515625" style="149" customWidth="1"/>
    <col min="14587" max="14596" width="7" style="149" customWidth="1"/>
    <col min="14597" max="14598" width="6.85546875" style="149" customWidth="1"/>
    <col min="14599" max="14600" width="6" style="149" customWidth="1"/>
    <col min="14601" max="14602" width="9.140625" style="149" customWidth="1"/>
    <col min="14603" max="14604" width="6" style="149" customWidth="1"/>
    <col min="14605" max="14606" width="8.140625" style="149" customWidth="1"/>
    <col min="14607" max="14608" width="7" style="149" customWidth="1"/>
    <col min="14609" max="14610" width="6.7109375" style="149" customWidth="1"/>
    <col min="14611" max="14612" width="8.85546875" style="149" customWidth="1"/>
    <col min="14613" max="14614" width="7.5703125" style="149" customWidth="1"/>
    <col min="14615" max="14616" width="7.7109375" style="149" customWidth="1"/>
    <col min="14617" max="14833" width="9.140625" style="149"/>
    <col min="14834" max="14834" width="10.140625" style="149" customWidth="1"/>
    <col min="14835" max="14835" width="17.28515625" style="149" customWidth="1"/>
    <col min="14836" max="14836" width="9.42578125" style="149" customWidth="1"/>
    <col min="14837" max="14838" width="9" style="149" customWidth="1"/>
    <col min="14839" max="14840" width="7" style="149" customWidth="1"/>
    <col min="14841" max="14842" width="8.28515625" style="149" customWidth="1"/>
    <col min="14843" max="14852" width="7" style="149" customWidth="1"/>
    <col min="14853" max="14854" width="6.85546875" style="149" customWidth="1"/>
    <col min="14855" max="14856" width="6" style="149" customWidth="1"/>
    <col min="14857" max="14858" width="9.140625" style="149" customWidth="1"/>
    <col min="14859" max="14860" width="6" style="149" customWidth="1"/>
    <col min="14861" max="14862" width="8.140625" style="149" customWidth="1"/>
    <col min="14863" max="14864" width="7" style="149" customWidth="1"/>
    <col min="14865" max="14866" width="6.7109375" style="149" customWidth="1"/>
    <col min="14867" max="14868" width="8.85546875" style="149" customWidth="1"/>
    <col min="14869" max="14870" width="7.5703125" style="149" customWidth="1"/>
    <col min="14871" max="14872" width="7.7109375" style="149" customWidth="1"/>
    <col min="14873" max="15089" width="9.140625" style="149"/>
    <col min="15090" max="15090" width="10.140625" style="149" customWidth="1"/>
    <col min="15091" max="15091" width="17.28515625" style="149" customWidth="1"/>
    <col min="15092" max="15092" width="9.42578125" style="149" customWidth="1"/>
    <col min="15093" max="15094" width="9" style="149" customWidth="1"/>
    <col min="15095" max="15096" width="7" style="149" customWidth="1"/>
    <col min="15097" max="15098" width="8.28515625" style="149" customWidth="1"/>
    <col min="15099" max="15108" width="7" style="149" customWidth="1"/>
    <col min="15109" max="15110" width="6.85546875" style="149" customWidth="1"/>
    <col min="15111" max="15112" width="6" style="149" customWidth="1"/>
    <col min="15113" max="15114" width="9.140625" style="149" customWidth="1"/>
    <col min="15115" max="15116" width="6" style="149" customWidth="1"/>
    <col min="15117" max="15118" width="8.140625" style="149" customWidth="1"/>
    <col min="15119" max="15120" width="7" style="149" customWidth="1"/>
    <col min="15121" max="15122" width="6.7109375" style="149" customWidth="1"/>
    <col min="15123" max="15124" width="8.85546875" style="149" customWidth="1"/>
    <col min="15125" max="15126" width="7.5703125" style="149" customWidth="1"/>
    <col min="15127" max="15128" width="7.7109375" style="149" customWidth="1"/>
    <col min="15129" max="15345" width="9.140625" style="149"/>
    <col min="15346" max="15346" width="10.140625" style="149" customWidth="1"/>
    <col min="15347" max="15347" width="17.28515625" style="149" customWidth="1"/>
    <col min="15348" max="15348" width="9.42578125" style="149" customWidth="1"/>
    <col min="15349" max="15350" width="9" style="149" customWidth="1"/>
    <col min="15351" max="15352" width="7" style="149" customWidth="1"/>
    <col min="15353" max="15354" width="8.28515625" style="149" customWidth="1"/>
    <col min="15355" max="15364" width="7" style="149" customWidth="1"/>
    <col min="15365" max="15366" width="6.85546875" style="149" customWidth="1"/>
    <col min="15367" max="15368" width="6" style="149" customWidth="1"/>
    <col min="15369" max="15370" width="9.140625" style="149" customWidth="1"/>
    <col min="15371" max="15372" width="6" style="149" customWidth="1"/>
    <col min="15373" max="15374" width="8.140625" style="149" customWidth="1"/>
    <col min="15375" max="15376" width="7" style="149" customWidth="1"/>
    <col min="15377" max="15378" width="6.7109375" style="149" customWidth="1"/>
    <col min="15379" max="15380" width="8.85546875" style="149" customWidth="1"/>
    <col min="15381" max="15382" width="7.5703125" style="149" customWidth="1"/>
    <col min="15383" max="15384" width="7.7109375" style="149" customWidth="1"/>
    <col min="15385" max="15601" width="9.140625" style="149"/>
    <col min="15602" max="15602" width="10.140625" style="149" customWidth="1"/>
    <col min="15603" max="15603" width="17.28515625" style="149" customWidth="1"/>
    <col min="15604" max="15604" width="9.42578125" style="149" customWidth="1"/>
    <col min="15605" max="15606" width="9" style="149" customWidth="1"/>
    <col min="15607" max="15608" width="7" style="149" customWidth="1"/>
    <col min="15609" max="15610" width="8.28515625" style="149" customWidth="1"/>
    <col min="15611" max="15620" width="7" style="149" customWidth="1"/>
    <col min="15621" max="15622" width="6.85546875" style="149" customWidth="1"/>
    <col min="15623" max="15624" width="6" style="149" customWidth="1"/>
    <col min="15625" max="15626" width="9.140625" style="149" customWidth="1"/>
    <col min="15627" max="15628" width="6" style="149" customWidth="1"/>
    <col min="15629" max="15630" width="8.140625" style="149" customWidth="1"/>
    <col min="15631" max="15632" width="7" style="149" customWidth="1"/>
    <col min="15633" max="15634" width="6.7109375" style="149" customWidth="1"/>
    <col min="15635" max="15636" width="8.85546875" style="149" customWidth="1"/>
    <col min="15637" max="15638" width="7.5703125" style="149" customWidth="1"/>
    <col min="15639" max="15640" width="7.7109375" style="149" customWidth="1"/>
    <col min="15641" max="15857" width="9.140625" style="149"/>
    <col min="15858" max="15858" width="10.140625" style="149" customWidth="1"/>
    <col min="15859" max="15859" width="17.28515625" style="149" customWidth="1"/>
    <col min="15860" max="15860" width="9.42578125" style="149" customWidth="1"/>
    <col min="15861" max="15862" width="9" style="149" customWidth="1"/>
    <col min="15863" max="15864" width="7" style="149" customWidth="1"/>
    <col min="15865" max="15866" width="8.28515625" style="149" customWidth="1"/>
    <col min="15867" max="15876" width="7" style="149" customWidth="1"/>
    <col min="15877" max="15878" width="6.85546875" style="149" customWidth="1"/>
    <col min="15879" max="15880" width="6" style="149" customWidth="1"/>
    <col min="15881" max="15882" width="9.140625" style="149" customWidth="1"/>
    <col min="15883" max="15884" width="6" style="149" customWidth="1"/>
    <col min="15885" max="15886" width="8.140625" style="149" customWidth="1"/>
    <col min="15887" max="15888" width="7" style="149" customWidth="1"/>
    <col min="15889" max="15890" width="6.7109375" style="149" customWidth="1"/>
    <col min="15891" max="15892" width="8.85546875" style="149" customWidth="1"/>
    <col min="15893" max="15894" width="7.5703125" style="149" customWidth="1"/>
    <col min="15895" max="15896" width="7.7109375" style="149" customWidth="1"/>
    <col min="15897" max="16113" width="9.140625" style="149"/>
    <col min="16114" max="16114" width="10.140625" style="149" customWidth="1"/>
    <col min="16115" max="16115" width="17.28515625" style="149" customWidth="1"/>
    <col min="16116" max="16116" width="9.42578125" style="149" customWidth="1"/>
    <col min="16117" max="16118" width="9" style="149" customWidth="1"/>
    <col min="16119" max="16120" width="7" style="149" customWidth="1"/>
    <col min="16121" max="16122" width="8.28515625" style="149" customWidth="1"/>
    <col min="16123" max="16132" width="7" style="149" customWidth="1"/>
    <col min="16133" max="16134" width="6.85546875" style="149" customWidth="1"/>
    <col min="16135" max="16136" width="6" style="149" customWidth="1"/>
    <col min="16137" max="16138" width="9.140625" style="149" customWidth="1"/>
    <col min="16139" max="16140" width="6" style="149" customWidth="1"/>
    <col min="16141" max="16142" width="8.140625" style="149" customWidth="1"/>
    <col min="16143" max="16144" width="7" style="149" customWidth="1"/>
    <col min="16145" max="16146" width="6.7109375" style="149" customWidth="1"/>
    <col min="16147" max="16148" width="8.85546875" style="149" customWidth="1"/>
    <col min="16149" max="16150" width="7.5703125" style="149" customWidth="1"/>
    <col min="16151" max="16152" width="7.7109375" style="149" customWidth="1"/>
    <col min="16153" max="16384" width="9.140625" style="149"/>
  </cols>
  <sheetData>
    <row r="1" spans="1:47" x14ac:dyDescent="0.25">
      <c r="AJ1" s="83"/>
      <c r="AK1" s="83"/>
      <c r="AL1" s="83"/>
      <c r="AM1" s="83"/>
      <c r="AN1" s="172" t="s">
        <v>0</v>
      </c>
      <c r="AO1" s="172"/>
      <c r="AP1" s="172"/>
      <c r="AQ1" s="172"/>
      <c r="AR1" s="172"/>
    </row>
    <row r="2" spans="1:47" x14ac:dyDescent="0.25">
      <c r="AJ2" s="172" t="s">
        <v>1</v>
      </c>
      <c r="AK2" s="172"/>
      <c r="AL2" s="172"/>
      <c r="AM2" s="172"/>
      <c r="AN2" s="172"/>
      <c r="AO2" s="172"/>
      <c r="AP2" s="172"/>
      <c r="AQ2" s="172"/>
      <c r="AR2" s="172"/>
    </row>
    <row r="3" spans="1:47" x14ac:dyDescent="0.25">
      <c r="AJ3" s="83"/>
      <c r="AK3" s="83"/>
      <c r="AL3" s="172" t="s">
        <v>2</v>
      </c>
      <c r="AM3" s="172"/>
      <c r="AN3" s="172"/>
      <c r="AO3" s="172"/>
      <c r="AP3" s="172"/>
      <c r="AQ3" s="172"/>
      <c r="AR3" s="172"/>
    </row>
    <row r="4" spans="1:47" x14ac:dyDescent="0.25">
      <c r="B4" s="149" t="s">
        <v>3</v>
      </c>
      <c r="AD4" s="21"/>
      <c r="AE4" s="21"/>
      <c r="AJ4" s="83"/>
      <c r="AK4" s="83"/>
      <c r="AL4" s="172" t="s">
        <v>4</v>
      </c>
      <c r="AM4" s="172"/>
      <c r="AN4" s="172"/>
      <c r="AO4" s="172"/>
      <c r="AP4" s="172"/>
      <c r="AQ4" s="172"/>
      <c r="AR4" s="172"/>
      <c r="AS4" s="21"/>
    </row>
    <row r="5" spans="1:47" x14ac:dyDescent="0.25">
      <c r="B5" s="2" t="s">
        <v>5</v>
      </c>
    </row>
    <row r="6" spans="1:47" ht="129" customHeight="1" x14ac:dyDescent="0.25">
      <c r="A6" s="64" t="s">
        <v>6</v>
      </c>
      <c r="B6" s="64" t="s">
        <v>7</v>
      </c>
      <c r="C6" s="65" t="s">
        <v>8</v>
      </c>
      <c r="D6" s="64" t="s">
        <v>9</v>
      </c>
      <c r="E6" s="152" t="s">
        <v>10</v>
      </c>
      <c r="F6" s="64" t="s">
        <v>11</v>
      </c>
      <c r="G6" s="152" t="s">
        <v>12</v>
      </c>
      <c r="H6" s="64" t="s">
        <v>13</v>
      </c>
      <c r="I6" s="152" t="s">
        <v>14</v>
      </c>
      <c r="J6" s="64" t="s">
        <v>15</v>
      </c>
      <c r="K6" s="152" t="s">
        <v>16</v>
      </c>
      <c r="L6" s="64" t="s">
        <v>17</v>
      </c>
      <c r="M6" s="152" t="s">
        <v>18</v>
      </c>
      <c r="N6" s="64" t="s">
        <v>19</v>
      </c>
      <c r="O6" s="152" t="s">
        <v>20</v>
      </c>
      <c r="P6" s="64" t="s">
        <v>21</v>
      </c>
      <c r="Q6" s="152" t="s">
        <v>22</v>
      </c>
      <c r="R6" s="64" t="s">
        <v>23</v>
      </c>
      <c r="S6" s="152" t="s">
        <v>24</v>
      </c>
      <c r="T6" s="64" t="s">
        <v>25</v>
      </c>
      <c r="U6" s="152" t="s">
        <v>26</v>
      </c>
      <c r="V6" s="64" t="s">
        <v>27</v>
      </c>
      <c r="W6" s="152" t="s">
        <v>28</v>
      </c>
      <c r="X6" s="64" t="s">
        <v>29</v>
      </c>
      <c r="Y6" s="152" t="s">
        <v>30</v>
      </c>
      <c r="Z6" s="64" t="s">
        <v>31</v>
      </c>
      <c r="AA6" s="152" t="s">
        <v>32</v>
      </c>
      <c r="AB6" s="64" t="s">
        <v>33</v>
      </c>
      <c r="AC6" s="152" t="s">
        <v>34</v>
      </c>
      <c r="AD6" s="64" t="s">
        <v>35</v>
      </c>
      <c r="AE6" s="152" t="s">
        <v>36</v>
      </c>
      <c r="AF6" s="64" t="s">
        <v>37</v>
      </c>
      <c r="AG6" s="152" t="s">
        <v>38</v>
      </c>
      <c r="AH6" s="64" t="s">
        <v>39</v>
      </c>
      <c r="AI6" s="152" t="s">
        <v>40</v>
      </c>
      <c r="AJ6" s="64" t="s">
        <v>41</v>
      </c>
      <c r="AK6" s="152" t="s">
        <v>42</v>
      </c>
      <c r="AL6" s="64" t="s">
        <v>43</v>
      </c>
      <c r="AM6" s="152" t="s">
        <v>44</v>
      </c>
      <c r="AN6" s="64" t="s">
        <v>45</v>
      </c>
      <c r="AO6" s="152" t="s">
        <v>46</v>
      </c>
      <c r="AP6" s="64" t="s">
        <v>47</v>
      </c>
      <c r="AQ6" s="152" t="s">
        <v>48</v>
      </c>
      <c r="AR6" s="3" t="s">
        <v>49</v>
      </c>
      <c r="AS6" s="155" t="s">
        <v>573</v>
      </c>
      <c r="AT6" s="155" t="s">
        <v>574</v>
      </c>
      <c r="AU6" s="155" t="s">
        <v>575</v>
      </c>
    </row>
    <row r="7" spans="1:47" ht="15.75" x14ac:dyDescent="0.25">
      <c r="A7" s="66"/>
      <c r="B7" s="67" t="s">
        <v>8</v>
      </c>
      <c r="C7" s="68"/>
      <c r="D7" s="68">
        <v>1000</v>
      </c>
      <c r="E7" s="46">
        <v>1000</v>
      </c>
      <c r="F7" s="68">
        <v>2210</v>
      </c>
      <c r="G7" s="46">
        <v>2210</v>
      </c>
      <c r="H7" s="68">
        <v>2221</v>
      </c>
      <c r="I7" s="46">
        <v>2221</v>
      </c>
      <c r="J7" s="68">
        <v>2222</v>
      </c>
      <c r="K7" s="46">
        <v>2222</v>
      </c>
      <c r="L7" s="68">
        <v>2223</v>
      </c>
      <c r="M7" s="46">
        <v>2223</v>
      </c>
      <c r="N7" s="68">
        <v>2224</v>
      </c>
      <c r="O7" s="46">
        <v>2224</v>
      </c>
      <c r="P7" s="68">
        <v>2321</v>
      </c>
      <c r="Q7" s="46">
        <v>2321</v>
      </c>
      <c r="R7" s="68">
        <v>2322</v>
      </c>
      <c r="S7" s="46">
        <v>2322</v>
      </c>
      <c r="T7" s="68">
        <v>2363</v>
      </c>
      <c r="U7" s="46">
        <v>2363</v>
      </c>
      <c r="V7" s="68" t="s">
        <v>50</v>
      </c>
      <c r="W7" s="46" t="s">
        <v>50</v>
      </c>
      <c r="X7" s="68">
        <v>2260</v>
      </c>
      <c r="Y7" s="46">
        <v>2260</v>
      </c>
      <c r="Z7" s="69"/>
      <c r="AA7" s="46"/>
      <c r="AB7" s="68">
        <v>2100</v>
      </c>
      <c r="AC7" s="46">
        <v>2100</v>
      </c>
      <c r="AD7" s="68">
        <v>2200</v>
      </c>
      <c r="AE7" s="46">
        <v>2200</v>
      </c>
      <c r="AF7" s="68">
        <v>2300</v>
      </c>
      <c r="AG7" s="46">
        <v>2300</v>
      </c>
      <c r="AH7" s="68" t="s">
        <v>51</v>
      </c>
      <c r="AI7" s="46" t="s">
        <v>51</v>
      </c>
      <c r="AJ7" s="68" t="s">
        <v>52</v>
      </c>
      <c r="AK7" s="46"/>
      <c r="AL7" s="68" t="s">
        <v>53</v>
      </c>
      <c r="AM7" s="46" t="s">
        <v>53</v>
      </c>
      <c r="AN7" s="68" t="s">
        <v>54</v>
      </c>
      <c r="AO7" s="46" t="s">
        <v>54</v>
      </c>
      <c r="AP7" s="70"/>
      <c r="AQ7" s="46"/>
      <c r="AR7" s="71"/>
    </row>
    <row r="8" spans="1:47" x14ac:dyDescent="0.25">
      <c r="A8" s="4" t="s">
        <v>55</v>
      </c>
      <c r="B8" s="4" t="s">
        <v>56</v>
      </c>
      <c r="C8" s="5" t="s">
        <v>57</v>
      </c>
      <c r="D8" s="143">
        <v>61496</v>
      </c>
      <c r="E8" s="153">
        <v>48586</v>
      </c>
      <c r="F8" s="151">
        <v>1920</v>
      </c>
      <c r="G8" s="153">
        <v>2075</v>
      </c>
      <c r="H8" s="151">
        <v>2900</v>
      </c>
      <c r="I8" s="153">
        <v>2750</v>
      </c>
      <c r="J8" s="151"/>
      <c r="K8" s="153"/>
      <c r="L8" s="151">
        <v>1050</v>
      </c>
      <c r="M8" s="153">
        <v>950</v>
      </c>
      <c r="N8" s="151"/>
      <c r="O8" s="153"/>
      <c r="P8" s="151"/>
      <c r="Q8" s="153"/>
      <c r="R8" s="151">
        <v>2300</v>
      </c>
      <c r="S8" s="153">
        <v>2500</v>
      </c>
      <c r="T8" s="151"/>
      <c r="U8" s="153"/>
      <c r="V8" s="151"/>
      <c r="W8" s="153"/>
      <c r="X8" s="151"/>
      <c r="Y8" s="153"/>
      <c r="Z8" s="61">
        <f t="shared" ref="Z8:AA30" si="0">D8+F8+H8+J8+L8+P8+R8+T8+V8+X8+N8</f>
        <v>69666</v>
      </c>
      <c r="AA8" s="75">
        <f t="shared" si="0"/>
        <v>56861</v>
      </c>
      <c r="AB8" s="151"/>
      <c r="AC8" s="153"/>
      <c r="AD8" s="151">
        <v>10203</v>
      </c>
      <c r="AE8" s="153">
        <v>10242</v>
      </c>
      <c r="AF8" s="151">
        <v>3840</v>
      </c>
      <c r="AG8" s="153">
        <v>3400</v>
      </c>
      <c r="AH8" s="151"/>
      <c r="AI8" s="153"/>
      <c r="AJ8" s="151"/>
      <c r="AK8" s="153"/>
      <c r="AL8" s="151"/>
      <c r="AM8" s="153"/>
      <c r="AN8" s="151">
        <v>800</v>
      </c>
      <c r="AO8" s="153">
        <v>0</v>
      </c>
      <c r="AP8" s="61">
        <f t="shared" ref="AP8:AQ30" si="1">Z8+AB8+AD8+AF8+AH8+AJ8+AL8+AN8</f>
        <v>84509</v>
      </c>
      <c r="AQ8" s="75">
        <f t="shared" si="1"/>
        <v>70503</v>
      </c>
      <c r="AR8" s="150" t="s">
        <v>58</v>
      </c>
      <c r="AS8" s="21">
        <f>$AQ8-$AP8</f>
        <v>-14006</v>
      </c>
      <c r="AT8" s="21">
        <f>$E8-$D8</f>
        <v>-12910</v>
      </c>
      <c r="AU8" s="21">
        <f>AQ8-E8-AP8+D8</f>
        <v>-1096</v>
      </c>
    </row>
    <row r="9" spans="1:47" x14ac:dyDescent="0.25">
      <c r="A9" s="4" t="s">
        <v>55</v>
      </c>
      <c r="B9" s="4" t="s">
        <v>59</v>
      </c>
      <c r="C9" s="5" t="s">
        <v>60</v>
      </c>
      <c r="D9" s="151"/>
      <c r="E9" s="153"/>
      <c r="F9" s="151"/>
      <c r="G9" s="153"/>
      <c r="H9" s="151"/>
      <c r="I9" s="153"/>
      <c r="J9" s="151"/>
      <c r="K9" s="153"/>
      <c r="L9" s="151"/>
      <c r="M9" s="153"/>
      <c r="N9" s="151">
        <v>1855</v>
      </c>
      <c r="O9" s="153">
        <v>1855</v>
      </c>
      <c r="P9" s="151"/>
      <c r="Q9" s="153"/>
      <c r="R9" s="151">
        <v>1000</v>
      </c>
      <c r="S9" s="153">
        <v>1000</v>
      </c>
      <c r="T9" s="151"/>
      <c r="U9" s="153"/>
      <c r="V9" s="151"/>
      <c r="W9" s="153"/>
      <c r="X9" s="151"/>
      <c r="Y9" s="153"/>
      <c r="Z9" s="61">
        <f t="shared" si="0"/>
        <v>2855</v>
      </c>
      <c r="AA9" s="75">
        <f t="shared" si="0"/>
        <v>2855</v>
      </c>
      <c r="AB9" s="151"/>
      <c r="AC9" s="153"/>
      <c r="AD9" s="28">
        <v>500</v>
      </c>
      <c r="AE9" s="153">
        <v>500</v>
      </c>
      <c r="AF9" s="28">
        <v>2700</v>
      </c>
      <c r="AG9" s="153">
        <v>2400</v>
      </c>
      <c r="AH9" s="151"/>
      <c r="AI9" s="153"/>
      <c r="AJ9" s="151"/>
      <c r="AK9" s="153"/>
      <c r="AL9" s="151"/>
      <c r="AM9" s="153"/>
      <c r="AN9" s="151"/>
      <c r="AO9" s="153"/>
      <c r="AP9" s="61">
        <f t="shared" si="1"/>
        <v>6055</v>
      </c>
      <c r="AQ9" s="75">
        <f t="shared" si="1"/>
        <v>5755</v>
      </c>
      <c r="AR9" s="150" t="s">
        <v>61</v>
      </c>
      <c r="AS9" s="21">
        <f t="shared" ref="AS9:AS72" si="2">$AQ9-$AP9</f>
        <v>-300</v>
      </c>
      <c r="AT9" s="21">
        <f t="shared" ref="AT9:AT72" si="3">$E9-$D9</f>
        <v>0</v>
      </c>
      <c r="AU9" s="21">
        <f t="shared" ref="AU9:AU72" si="4">AQ9-E9-AP9+D9</f>
        <v>-300</v>
      </c>
    </row>
    <row r="10" spans="1:47" ht="26.25" x14ac:dyDescent="0.25">
      <c r="A10" s="4" t="s">
        <v>55</v>
      </c>
      <c r="B10" s="4" t="s">
        <v>65</v>
      </c>
      <c r="C10" s="5" t="s">
        <v>60</v>
      </c>
      <c r="D10" s="151">
        <v>117176</v>
      </c>
      <c r="E10" s="153">
        <v>131104</v>
      </c>
      <c r="F10" s="151">
        <v>10</v>
      </c>
      <c r="G10" s="153">
        <v>10</v>
      </c>
      <c r="H10" s="151">
        <v>4130</v>
      </c>
      <c r="I10" s="153">
        <v>4130</v>
      </c>
      <c r="J10" s="151"/>
      <c r="K10" s="153"/>
      <c r="L10" s="151">
        <v>385</v>
      </c>
      <c r="M10" s="153">
        <v>360</v>
      </c>
      <c r="N10" s="151">
        <v>0</v>
      </c>
      <c r="O10" s="153"/>
      <c r="P10" s="151"/>
      <c r="Q10" s="153"/>
      <c r="R10" s="151">
        <v>430</v>
      </c>
      <c r="S10" s="153">
        <v>430</v>
      </c>
      <c r="T10" s="151"/>
      <c r="U10" s="153"/>
      <c r="V10" s="151"/>
      <c r="W10" s="153"/>
      <c r="X10" s="151"/>
      <c r="Y10" s="153"/>
      <c r="Z10" s="61">
        <f t="shared" si="0"/>
        <v>122131</v>
      </c>
      <c r="AA10" s="75">
        <f t="shared" si="0"/>
        <v>136034</v>
      </c>
      <c r="AB10" s="151"/>
      <c r="AC10" s="153"/>
      <c r="AD10" s="151">
        <v>8650</v>
      </c>
      <c r="AE10" s="153">
        <v>8350</v>
      </c>
      <c r="AF10" s="151">
        <v>1900</v>
      </c>
      <c r="AG10" s="153">
        <v>1500</v>
      </c>
      <c r="AH10" s="151"/>
      <c r="AI10" s="153"/>
      <c r="AJ10" s="151"/>
      <c r="AK10" s="153"/>
      <c r="AL10" s="151"/>
      <c r="AM10" s="153"/>
      <c r="AN10" s="151"/>
      <c r="AO10" s="153"/>
      <c r="AP10" s="61">
        <f t="shared" si="1"/>
        <v>132681</v>
      </c>
      <c r="AQ10" s="75">
        <f t="shared" si="1"/>
        <v>145884</v>
      </c>
      <c r="AR10" s="150" t="s">
        <v>61</v>
      </c>
      <c r="AS10" s="21">
        <f t="shared" si="2"/>
        <v>13203</v>
      </c>
      <c r="AT10" s="21">
        <f t="shared" si="3"/>
        <v>13928</v>
      </c>
      <c r="AU10" s="21">
        <f t="shared" si="4"/>
        <v>-725</v>
      </c>
    </row>
    <row r="11" spans="1:47" x14ac:dyDescent="0.25">
      <c r="A11" s="4" t="s">
        <v>55</v>
      </c>
      <c r="B11" s="4" t="s">
        <v>66</v>
      </c>
      <c r="C11" s="5" t="s">
        <v>67</v>
      </c>
      <c r="D11" s="151">
        <v>13178</v>
      </c>
      <c r="E11" s="153">
        <v>13526</v>
      </c>
      <c r="F11" s="151">
        <v>120</v>
      </c>
      <c r="G11" s="153">
        <v>135</v>
      </c>
      <c r="H11" s="151"/>
      <c r="I11" s="153"/>
      <c r="J11" s="151"/>
      <c r="K11" s="153"/>
      <c r="L11" s="151"/>
      <c r="M11" s="153"/>
      <c r="N11" s="151"/>
      <c r="O11" s="153"/>
      <c r="P11" s="151"/>
      <c r="Q11" s="153"/>
      <c r="R11" s="151">
        <v>220</v>
      </c>
      <c r="S11" s="153">
        <v>220</v>
      </c>
      <c r="T11" s="151"/>
      <c r="U11" s="153"/>
      <c r="V11" s="151"/>
      <c r="W11" s="153"/>
      <c r="X11" s="151"/>
      <c r="Y11" s="153"/>
      <c r="Z11" s="61">
        <f t="shared" si="0"/>
        <v>13518</v>
      </c>
      <c r="AA11" s="75">
        <f t="shared" si="0"/>
        <v>13881</v>
      </c>
      <c r="AB11" s="151"/>
      <c r="AC11" s="153"/>
      <c r="AD11" s="151">
        <v>235</v>
      </c>
      <c r="AE11" s="153">
        <v>195</v>
      </c>
      <c r="AF11" s="151">
        <v>865</v>
      </c>
      <c r="AG11" s="153">
        <v>815</v>
      </c>
      <c r="AH11" s="151"/>
      <c r="AI11" s="153"/>
      <c r="AJ11" s="151"/>
      <c r="AK11" s="153"/>
      <c r="AL11" s="151"/>
      <c r="AM11" s="153"/>
      <c r="AN11" s="151"/>
      <c r="AO11" s="153"/>
      <c r="AP11" s="61">
        <f t="shared" si="1"/>
        <v>14618</v>
      </c>
      <c r="AQ11" s="75">
        <f t="shared" si="1"/>
        <v>14891</v>
      </c>
      <c r="AR11" s="150" t="s">
        <v>68</v>
      </c>
      <c r="AS11" s="21">
        <f t="shared" si="2"/>
        <v>273</v>
      </c>
      <c r="AT11" s="21">
        <f t="shared" si="3"/>
        <v>348</v>
      </c>
      <c r="AU11" s="21">
        <f t="shared" si="4"/>
        <v>-75</v>
      </c>
    </row>
    <row r="12" spans="1:47" x14ac:dyDescent="0.25">
      <c r="A12" s="4" t="s">
        <v>55</v>
      </c>
      <c r="B12" s="4" t="s">
        <v>69</v>
      </c>
      <c r="C12" s="5" t="s">
        <v>70</v>
      </c>
      <c r="D12" s="151">
        <v>7550</v>
      </c>
      <c r="E12" s="153">
        <v>7890</v>
      </c>
      <c r="F12" s="151"/>
      <c r="G12" s="153"/>
      <c r="H12" s="151">
        <v>6325</v>
      </c>
      <c r="I12" s="153">
        <v>6200</v>
      </c>
      <c r="J12" s="151"/>
      <c r="K12" s="153"/>
      <c r="L12" s="151"/>
      <c r="M12" s="153"/>
      <c r="N12" s="151"/>
      <c r="O12" s="153"/>
      <c r="P12" s="151"/>
      <c r="Q12" s="153"/>
      <c r="R12" s="151">
        <v>350</v>
      </c>
      <c r="S12" s="153">
        <v>350</v>
      </c>
      <c r="T12" s="151"/>
      <c r="U12" s="153"/>
      <c r="V12" s="151"/>
      <c r="W12" s="153"/>
      <c r="X12" s="151">
        <v>200</v>
      </c>
      <c r="Y12" s="153"/>
      <c r="Z12" s="61">
        <f t="shared" si="0"/>
        <v>14425</v>
      </c>
      <c r="AA12" s="75">
        <f t="shared" si="0"/>
        <v>14440</v>
      </c>
      <c r="AB12" s="151"/>
      <c r="AC12" s="153"/>
      <c r="AD12" s="151">
        <v>1645</v>
      </c>
      <c r="AE12" s="153">
        <v>2297</v>
      </c>
      <c r="AF12" s="151">
        <v>3160</v>
      </c>
      <c r="AG12" s="153">
        <v>2935</v>
      </c>
      <c r="AH12" s="151"/>
      <c r="AI12" s="153"/>
      <c r="AJ12" s="151"/>
      <c r="AK12" s="153"/>
      <c r="AL12" s="151"/>
      <c r="AM12" s="153"/>
      <c r="AN12" s="151"/>
      <c r="AO12" s="153"/>
      <c r="AP12" s="61">
        <f t="shared" si="1"/>
        <v>19230</v>
      </c>
      <c r="AQ12" s="75">
        <f t="shared" si="1"/>
        <v>19672</v>
      </c>
      <c r="AR12" s="150" t="s">
        <v>71</v>
      </c>
      <c r="AS12" s="21">
        <f t="shared" si="2"/>
        <v>442</v>
      </c>
      <c r="AT12" s="21">
        <f t="shared" si="3"/>
        <v>340</v>
      </c>
      <c r="AU12" s="21">
        <f t="shared" si="4"/>
        <v>102</v>
      </c>
    </row>
    <row r="13" spans="1:47" x14ac:dyDescent="0.25">
      <c r="A13" s="66" t="s">
        <v>55</v>
      </c>
      <c r="B13" s="66" t="s">
        <v>72</v>
      </c>
      <c r="C13" s="68" t="s">
        <v>73</v>
      </c>
      <c r="D13" s="143">
        <v>5867</v>
      </c>
      <c r="E13" s="153">
        <v>6259</v>
      </c>
      <c r="F13" s="151">
        <v>105</v>
      </c>
      <c r="G13" s="153">
        <v>105</v>
      </c>
      <c r="H13" s="151"/>
      <c r="I13" s="153"/>
      <c r="J13" s="151"/>
      <c r="K13" s="153"/>
      <c r="L13" s="151">
        <v>300</v>
      </c>
      <c r="M13" s="153">
        <v>300</v>
      </c>
      <c r="N13" s="151"/>
      <c r="O13" s="153"/>
      <c r="P13" s="151">
        <v>240</v>
      </c>
      <c r="Q13" s="153">
        <v>160</v>
      </c>
      <c r="R13" s="151">
        <v>50</v>
      </c>
      <c r="S13" s="153">
        <v>50</v>
      </c>
      <c r="T13" s="151"/>
      <c r="U13" s="153"/>
      <c r="V13" s="151"/>
      <c r="W13" s="153"/>
      <c r="X13" s="151"/>
      <c r="Y13" s="153"/>
      <c r="Z13" s="61">
        <f t="shared" si="0"/>
        <v>6562</v>
      </c>
      <c r="AA13" s="75">
        <f t="shared" si="0"/>
        <v>6874</v>
      </c>
      <c r="AB13" s="151">
        <v>30</v>
      </c>
      <c r="AC13" s="153">
        <v>30</v>
      </c>
      <c r="AD13" s="151">
        <v>340</v>
      </c>
      <c r="AE13" s="153">
        <v>900</v>
      </c>
      <c r="AF13" s="151">
        <v>1010</v>
      </c>
      <c r="AG13" s="153">
        <v>1668</v>
      </c>
      <c r="AH13" s="151">
        <v>2631</v>
      </c>
      <c r="AI13" s="153">
        <v>2590</v>
      </c>
      <c r="AJ13" s="151"/>
      <c r="AK13" s="153"/>
      <c r="AL13" s="151"/>
      <c r="AM13" s="153"/>
      <c r="AN13" s="151"/>
      <c r="AO13" s="153"/>
      <c r="AP13" s="61">
        <f t="shared" si="1"/>
        <v>10573</v>
      </c>
      <c r="AQ13" s="75">
        <f t="shared" si="1"/>
        <v>12062</v>
      </c>
      <c r="AR13" s="150" t="s">
        <v>74</v>
      </c>
      <c r="AS13" s="21">
        <f t="shared" si="2"/>
        <v>1489</v>
      </c>
      <c r="AT13" s="21">
        <f t="shared" si="3"/>
        <v>392</v>
      </c>
      <c r="AU13" s="21">
        <f t="shared" si="4"/>
        <v>1097</v>
      </c>
    </row>
    <row r="14" spans="1:47" x14ac:dyDescent="0.25">
      <c r="A14" s="66" t="s">
        <v>55</v>
      </c>
      <c r="B14" s="66" t="s">
        <v>75</v>
      </c>
      <c r="C14" s="68" t="s">
        <v>73</v>
      </c>
      <c r="D14" s="143">
        <v>8696</v>
      </c>
      <c r="E14" s="153">
        <v>9269</v>
      </c>
      <c r="F14" s="151"/>
      <c r="G14" s="153"/>
      <c r="H14" s="151"/>
      <c r="I14" s="153"/>
      <c r="J14" s="151"/>
      <c r="K14" s="153"/>
      <c r="L14" s="151"/>
      <c r="M14" s="153"/>
      <c r="N14" s="151"/>
      <c r="O14" s="153"/>
      <c r="P14" s="151"/>
      <c r="Q14" s="153"/>
      <c r="R14" s="151"/>
      <c r="S14" s="153"/>
      <c r="T14" s="151"/>
      <c r="U14" s="153"/>
      <c r="V14" s="151"/>
      <c r="W14" s="153"/>
      <c r="X14" s="151"/>
      <c r="Y14" s="153"/>
      <c r="Z14" s="61">
        <f t="shared" si="0"/>
        <v>8696</v>
      </c>
      <c r="AA14" s="75">
        <f t="shared" si="0"/>
        <v>9269</v>
      </c>
      <c r="AB14" s="151"/>
      <c r="AC14" s="153"/>
      <c r="AD14" s="151"/>
      <c r="AE14" s="153"/>
      <c r="AF14" s="151"/>
      <c r="AG14" s="153"/>
      <c r="AH14" s="151"/>
      <c r="AI14" s="153"/>
      <c r="AJ14" s="151"/>
      <c r="AK14" s="153"/>
      <c r="AL14" s="151"/>
      <c r="AM14" s="153"/>
      <c r="AN14" s="151"/>
      <c r="AO14" s="153"/>
      <c r="AP14" s="61">
        <f t="shared" si="1"/>
        <v>8696</v>
      </c>
      <c r="AQ14" s="75">
        <f t="shared" si="1"/>
        <v>9269</v>
      </c>
      <c r="AR14" s="150"/>
      <c r="AS14" s="21">
        <f t="shared" si="2"/>
        <v>573</v>
      </c>
      <c r="AT14" s="21">
        <f t="shared" si="3"/>
        <v>573</v>
      </c>
      <c r="AU14" s="21">
        <f t="shared" si="4"/>
        <v>0</v>
      </c>
    </row>
    <row r="15" spans="1:47" x14ac:dyDescent="0.25">
      <c r="A15" s="66" t="s">
        <v>55</v>
      </c>
      <c r="B15" s="66" t="s">
        <v>76</v>
      </c>
      <c r="C15" s="68" t="s">
        <v>73</v>
      </c>
      <c r="D15" s="143">
        <v>4616</v>
      </c>
      <c r="E15" s="153">
        <v>5013</v>
      </c>
      <c r="F15" s="151"/>
      <c r="G15" s="153"/>
      <c r="H15" s="151"/>
      <c r="I15" s="153"/>
      <c r="J15" s="151"/>
      <c r="K15" s="153"/>
      <c r="L15" s="151"/>
      <c r="M15" s="153"/>
      <c r="N15" s="151"/>
      <c r="O15" s="153"/>
      <c r="P15" s="151"/>
      <c r="Q15" s="153"/>
      <c r="R15" s="151"/>
      <c r="S15" s="153"/>
      <c r="T15" s="151"/>
      <c r="U15" s="153"/>
      <c r="V15" s="151"/>
      <c r="W15" s="153"/>
      <c r="X15" s="151"/>
      <c r="Y15" s="153"/>
      <c r="Z15" s="61">
        <f t="shared" si="0"/>
        <v>4616</v>
      </c>
      <c r="AA15" s="75">
        <f t="shared" si="0"/>
        <v>5013</v>
      </c>
      <c r="AB15" s="151"/>
      <c r="AC15" s="153"/>
      <c r="AD15" s="151"/>
      <c r="AE15" s="153"/>
      <c r="AF15" s="151"/>
      <c r="AG15" s="153"/>
      <c r="AH15" s="151"/>
      <c r="AI15" s="153"/>
      <c r="AJ15" s="151"/>
      <c r="AK15" s="153"/>
      <c r="AL15" s="151"/>
      <c r="AM15" s="153"/>
      <c r="AN15" s="151"/>
      <c r="AO15" s="153"/>
      <c r="AP15" s="61">
        <f t="shared" si="1"/>
        <v>4616</v>
      </c>
      <c r="AQ15" s="75">
        <f t="shared" si="1"/>
        <v>5013</v>
      </c>
      <c r="AR15" s="150"/>
      <c r="AS15" s="21">
        <f t="shared" si="2"/>
        <v>397</v>
      </c>
      <c r="AT15" s="21">
        <f t="shared" si="3"/>
        <v>397</v>
      </c>
      <c r="AU15" s="21">
        <f t="shared" si="4"/>
        <v>0</v>
      </c>
    </row>
    <row r="16" spans="1:47" x14ac:dyDescent="0.25">
      <c r="A16" s="4" t="s">
        <v>55</v>
      </c>
      <c r="B16" s="4" t="s">
        <v>77</v>
      </c>
      <c r="C16" s="5" t="s">
        <v>73</v>
      </c>
      <c r="D16" s="151">
        <v>20698</v>
      </c>
      <c r="E16" s="153">
        <v>20793</v>
      </c>
      <c r="F16" s="151">
        <v>80</v>
      </c>
      <c r="G16" s="153">
        <v>72</v>
      </c>
      <c r="H16" s="151"/>
      <c r="I16" s="153"/>
      <c r="J16" s="151">
        <v>412</v>
      </c>
      <c r="K16" s="153">
        <v>350</v>
      </c>
      <c r="L16" s="151">
        <v>2700</v>
      </c>
      <c r="M16" s="153">
        <v>2700</v>
      </c>
      <c r="N16" s="151">
        <v>456</v>
      </c>
      <c r="O16" s="153">
        <v>420</v>
      </c>
      <c r="P16" s="151">
        <v>8470</v>
      </c>
      <c r="Q16" s="153">
        <v>8470</v>
      </c>
      <c r="R16" s="151">
        <v>800</v>
      </c>
      <c r="S16" s="153">
        <v>500</v>
      </c>
      <c r="T16" s="151"/>
      <c r="U16" s="153"/>
      <c r="V16" s="151"/>
      <c r="W16" s="153"/>
      <c r="X16" s="151"/>
      <c r="Y16" s="153"/>
      <c r="Z16" s="61">
        <f t="shared" si="0"/>
        <v>33616</v>
      </c>
      <c r="AA16" s="75">
        <f t="shared" si="0"/>
        <v>33305</v>
      </c>
      <c r="AB16" s="151"/>
      <c r="AC16" s="153"/>
      <c r="AD16" s="151">
        <v>5930</v>
      </c>
      <c r="AE16" s="153">
        <v>5365</v>
      </c>
      <c r="AF16" s="151">
        <v>4690</v>
      </c>
      <c r="AG16" s="153">
        <v>4480</v>
      </c>
      <c r="AH16" s="151"/>
      <c r="AI16" s="153"/>
      <c r="AJ16" s="151"/>
      <c r="AK16" s="153"/>
      <c r="AL16" s="151"/>
      <c r="AM16" s="153"/>
      <c r="AN16" s="151">
        <v>35</v>
      </c>
      <c r="AO16" s="153">
        <v>35</v>
      </c>
      <c r="AP16" s="61">
        <f t="shared" si="1"/>
        <v>44271</v>
      </c>
      <c r="AQ16" s="75">
        <f t="shared" si="1"/>
        <v>43185</v>
      </c>
      <c r="AR16" s="150" t="s">
        <v>74</v>
      </c>
      <c r="AS16" s="21">
        <f t="shared" si="2"/>
        <v>-1086</v>
      </c>
      <c r="AT16" s="21">
        <f t="shared" si="3"/>
        <v>95</v>
      </c>
      <c r="AU16" s="21">
        <f t="shared" si="4"/>
        <v>-1181</v>
      </c>
    </row>
    <row r="17" spans="1:47" x14ac:dyDescent="0.25">
      <c r="A17" s="4" t="s">
        <v>55</v>
      </c>
      <c r="B17" s="4" t="s">
        <v>78</v>
      </c>
      <c r="C17" s="5" t="s">
        <v>156</v>
      </c>
      <c r="D17" s="151">
        <v>6999</v>
      </c>
      <c r="E17" s="153">
        <v>7178</v>
      </c>
      <c r="F17" s="151">
        <v>0</v>
      </c>
      <c r="G17" s="153">
        <v>0</v>
      </c>
      <c r="H17" s="151"/>
      <c r="I17" s="153"/>
      <c r="J17" s="151"/>
      <c r="K17" s="153"/>
      <c r="L17" s="151"/>
      <c r="M17" s="153"/>
      <c r="N17" s="151"/>
      <c r="O17" s="153"/>
      <c r="P17" s="151"/>
      <c r="Q17" s="153"/>
      <c r="R17" s="151">
        <v>300</v>
      </c>
      <c r="S17" s="153">
        <v>220</v>
      </c>
      <c r="T17" s="151"/>
      <c r="U17" s="153"/>
      <c r="V17" s="151"/>
      <c r="W17" s="153"/>
      <c r="X17" s="151"/>
      <c r="Y17" s="153"/>
      <c r="Z17" s="61">
        <f t="shared" si="0"/>
        <v>7299</v>
      </c>
      <c r="AA17" s="75">
        <f t="shared" si="0"/>
        <v>7398</v>
      </c>
      <c r="AB17" s="151">
        <v>30</v>
      </c>
      <c r="AC17" s="153">
        <v>30</v>
      </c>
      <c r="AD17" s="151">
        <v>150</v>
      </c>
      <c r="AE17" s="153">
        <v>100</v>
      </c>
      <c r="AF17" s="151">
        <v>640</v>
      </c>
      <c r="AG17" s="153">
        <v>713</v>
      </c>
      <c r="AH17" s="151"/>
      <c r="AI17" s="153"/>
      <c r="AJ17" s="151"/>
      <c r="AK17" s="153"/>
      <c r="AL17" s="151"/>
      <c r="AM17" s="153"/>
      <c r="AN17" s="151"/>
      <c r="AO17" s="153"/>
      <c r="AP17" s="61">
        <f t="shared" si="1"/>
        <v>8119</v>
      </c>
      <c r="AQ17" s="75">
        <f t="shared" si="1"/>
        <v>8241</v>
      </c>
      <c r="AR17" s="150" t="s">
        <v>80</v>
      </c>
      <c r="AS17" s="21">
        <f t="shared" si="2"/>
        <v>122</v>
      </c>
      <c r="AT17" s="21">
        <f t="shared" si="3"/>
        <v>179</v>
      </c>
      <c r="AU17" s="21">
        <f t="shared" si="4"/>
        <v>-57</v>
      </c>
    </row>
    <row r="18" spans="1:47" x14ac:dyDescent="0.25">
      <c r="A18" s="4" t="s">
        <v>55</v>
      </c>
      <c r="B18" s="4" t="s">
        <v>81</v>
      </c>
      <c r="C18" s="5" t="s">
        <v>82</v>
      </c>
      <c r="D18" s="151">
        <v>20520</v>
      </c>
      <c r="E18" s="153">
        <v>22098</v>
      </c>
      <c r="F18" s="151">
        <v>70</v>
      </c>
      <c r="G18" s="153">
        <v>70</v>
      </c>
      <c r="H18" s="151">
        <v>6325</v>
      </c>
      <c r="I18" s="153">
        <v>5995</v>
      </c>
      <c r="J18" s="151">
        <v>1310</v>
      </c>
      <c r="K18" s="153">
        <v>1610</v>
      </c>
      <c r="L18" s="151">
        <v>1630</v>
      </c>
      <c r="M18" s="153">
        <v>1900</v>
      </c>
      <c r="N18" s="151">
        <v>675</v>
      </c>
      <c r="O18" s="153">
        <v>670</v>
      </c>
      <c r="P18" s="151"/>
      <c r="Q18" s="153"/>
      <c r="R18" s="151">
        <v>150</v>
      </c>
      <c r="S18" s="153">
        <v>110</v>
      </c>
      <c r="T18" s="151">
        <v>5555</v>
      </c>
      <c r="U18" s="153">
        <v>5555</v>
      </c>
      <c r="V18" s="151"/>
      <c r="W18" s="153"/>
      <c r="X18" s="151"/>
      <c r="Y18" s="153"/>
      <c r="Z18" s="61">
        <f t="shared" si="0"/>
        <v>36235</v>
      </c>
      <c r="AA18" s="75">
        <f t="shared" si="0"/>
        <v>38008</v>
      </c>
      <c r="AB18" s="151"/>
      <c r="AC18" s="153"/>
      <c r="AD18" s="151">
        <v>2783</v>
      </c>
      <c r="AE18" s="153">
        <v>2316</v>
      </c>
      <c r="AF18" s="151">
        <v>2350</v>
      </c>
      <c r="AG18" s="153">
        <v>2100</v>
      </c>
      <c r="AH18" s="151"/>
      <c r="AI18" s="153"/>
      <c r="AJ18" s="151"/>
      <c r="AK18" s="153"/>
      <c r="AL18" s="151"/>
      <c r="AM18" s="153"/>
      <c r="AN18" s="151"/>
      <c r="AO18" s="153"/>
      <c r="AP18" s="61">
        <f t="shared" si="1"/>
        <v>41368</v>
      </c>
      <c r="AQ18" s="75">
        <f t="shared" si="1"/>
        <v>42424</v>
      </c>
      <c r="AR18" s="150" t="s">
        <v>80</v>
      </c>
      <c r="AS18" s="21">
        <f t="shared" si="2"/>
        <v>1056</v>
      </c>
      <c r="AT18" s="21">
        <f t="shared" si="3"/>
        <v>1578</v>
      </c>
      <c r="AU18" s="21">
        <f t="shared" si="4"/>
        <v>-522</v>
      </c>
    </row>
    <row r="19" spans="1:47" ht="26.25" x14ac:dyDescent="0.25">
      <c r="A19" s="4" t="s">
        <v>55</v>
      </c>
      <c r="B19" s="4" t="s">
        <v>83</v>
      </c>
      <c r="C19" s="5" t="s">
        <v>82</v>
      </c>
      <c r="D19" s="151">
        <f>31807+620</f>
        <v>32427</v>
      </c>
      <c r="E19" s="153">
        <v>30828</v>
      </c>
      <c r="F19" s="151"/>
      <c r="G19" s="153"/>
      <c r="H19" s="151"/>
      <c r="I19" s="153"/>
      <c r="J19" s="151"/>
      <c r="K19" s="153"/>
      <c r="L19" s="151"/>
      <c r="M19" s="153"/>
      <c r="N19" s="151"/>
      <c r="O19" s="153"/>
      <c r="P19" s="151"/>
      <c r="Q19" s="153"/>
      <c r="R19" s="151"/>
      <c r="S19" s="153"/>
      <c r="T19" s="151"/>
      <c r="U19" s="153"/>
      <c r="V19" s="151"/>
      <c r="W19" s="153"/>
      <c r="X19" s="151"/>
      <c r="Y19" s="153"/>
      <c r="Z19" s="61">
        <f t="shared" si="0"/>
        <v>32427</v>
      </c>
      <c r="AA19" s="75">
        <f t="shared" si="0"/>
        <v>30828</v>
      </c>
      <c r="AB19" s="151"/>
      <c r="AC19" s="153"/>
      <c r="AD19" s="151"/>
      <c r="AE19" s="153"/>
      <c r="AF19" s="151"/>
      <c r="AG19" s="153"/>
      <c r="AH19" s="151"/>
      <c r="AI19" s="153"/>
      <c r="AJ19" s="151"/>
      <c r="AK19" s="153"/>
      <c r="AL19" s="151"/>
      <c r="AM19" s="153"/>
      <c r="AN19" s="151"/>
      <c r="AO19" s="153"/>
      <c r="AP19" s="61">
        <f t="shared" si="1"/>
        <v>32427</v>
      </c>
      <c r="AQ19" s="75">
        <f t="shared" si="1"/>
        <v>30828</v>
      </c>
      <c r="AR19" s="150" t="s">
        <v>80</v>
      </c>
      <c r="AS19" s="21">
        <f t="shared" si="2"/>
        <v>-1599</v>
      </c>
      <c r="AT19" s="21">
        <f t="shared" si="3"/>
        <v>-1599</v>
      </c>
      <c r="AU19" s="21">
        <f t="shared" si="4"/>
        <v>0</v>
      </c>
    </row>
    <row r="20" spans="1:47" x14ac:dyDescent="0.25">
      <c r="A20" s="4" t="s">
        <v>55</v>
      </c>
      <c r="B20" s="4" t="s">
        <v>85</v>
      </c>
      <c r="C20" s="5" t="s">
        <v>86</v>
      </c>
      <c r="D20" s="151">
        <v>36348</v>
      </c>
      <c r="E20" s="153">
        <v>39316</v>
      </c>
      <c r="F20" s="151">
        <v>1630</v>
      </c>
      <c r="G20" s="153">
        <v>1630</v>
      </c>
      <c r="H20" s="151">
        <v>21080</v>
      </c>
      <c r="I20" s="153">
        <v>19845</v>
      </c>
      <c r="J20" s="151">
        <v>2320</v>
      </c>
      <c r="K20" s="153">
        <v>2125</v>
      </c>
      <c r="L20" s="151">
        <v>9500</v>
      </c>
      <c r="M20" s="153">
        <v>9615</v>
      </c>
      <c r="N20" s="151">
        <v>1035</v>
      </c>
      <c r="O20" s="153">
        <v>1060</v>
      </c>
      <c r="P20" s="151"/>
      <c r="Q20" s="153"/>
      <c r="R20" s="151">
        <v>400</v>
      </c>
      <c r="S20" s="153">
        <v>400</v>
      </c>
      <c r="T20" s="151">
        <v>2515</v>
      </c>
      <c r="U20" s="153">
        <v>2638</v>
      </c>
      <c r="V20" s="151"/>
      <c r="W20" s="153"/>
      <c r="X20" s="151"/>
      <c r="Y20" s="153"/>
      <c r="Z20" s="61">
        <f t="shared" si="0"/>
        <v>74828</v>
      </c>
      <c r="AA20" s="75">
        <f t="shared" si="0"/>
        <v>76629</v>
      </c>
      <c r="AB20" s="151">
        <v>60</v>
      </c>
      <c r="AC20" s="153">
        <v>60</v>
      </c>
      <c r="AD20" s="151">
        <v>6040</v>
      </c>
      <c r="AE20" s="153">
        <v>5730</v>
      </c>
      <c r="AF20" s="28">
        <v>5660</v>
      </c>
      <c r="AG20" s="153">
        <v>5010</v>
      </c>
      <c r="AH20" s="151"/>
      <c r="AI20" s="153"/>
      <c r="AJ20" s="151"/>
      <c r="AK20" s="153"/>
      <c r="AL20" s="151"/>
      <c r="AM20" s="153"/>
      <c r="AN20" s="151"/>
      <c r="AO20" s="153"/>
      <c r="AP20" s="61">
        <f t="shared" si="1"/>
        <v>86588</v>
      </c>
      <c r="AQ20" s="75">
        <f t="shared" si="1"/>
        <v>87429</v>
      </c>
      <c r="AR20" s="150" t="s">
        <v>80</v>
      </c>
      <c r="AS20" s="21">
        <f t="shared" si="2"/>
        <v>841</v>
      </c>
      <c r="AT20" s="21">
        <f t="shared" si="3"/>
        <v>2968</v>
      </c>
      <c r="AU20" s="21">
        <f t="shared" si="4"/>
        <v>-2127</v>
      </c>
    </row>
    <row r="21" spans="1:47" ht="26.25" x14ac:dyDescent="0.25">
      <c r="A21" s="4" t="s">
        <v>55</v>
      </c>
      <c r="B21" s="4" t="s">
        <v>87</v>
      </c>
      <c r="C21" s="5" t="s">
        <v>86</v>
      </c>
      <c r="D21" s="151">
        <f>7654+100</f>
        <v>7754</v>
      </c>
      <c r="E21" s="153">
        <v>15295</v>
      </c>
      <c r="F21" s="151"/>
      <c r="G21" s="153"/>
      <c r="H21" s="151"/>
      <c r="I21" s="153"/>
      <c r="J21" s="151"/>
      <c r="K21" s="153"/>
      <c r="L21" s="151"/>
      <c r="M21" s="153"/>
      <c r="N21" s="151"/>
      <c r="O21" s="153"/>
      <c r="P21" s="151"/>
      <c r="Q21" s="153"/>
      <c r="R21" s="151"/>
      <c r="S21" s="153"/>
      <c r="T21" s="151"/>
      <c r="U21" s="153"/>
      <c r="V21" s="151"/>
      <c r="W21" s="153"/>
      <c r="X21" s="151"/>
      <c r="Y21" s="153"/>
      <c r="Z21" s="61">
        <f t="shared" si="0"/>
        <v>7754</v>
      </c>
      <c r="AA21" s="75">
        <f t="shared" si="0"/>
        <v>15295</v>
      </c>
      <c r="AB21" s="151"/>
      <c r="AC21" s="153"/>
      <c r="AD21" s="151"/>
      <c r="AE21" s="153"/>
      <c r="AF21" s="151"/>
      <c r="AG21" s="153"/>
      <c r="AH21" s="151"/>
      <c r="AI21" s="153"/>
      <c r="AJ21" s="151"/>
      <c r="AK21" s="153"/>
      <c r="AL21" s="151"/>
      <c r="AM21" s="153"/>
      <c r="AN21" s="151"/>
      <c r="AO21" s="153"/>
      <c r="AP21" s="61">
        <f t="shared" si="1"/>
        <v>7754</v>
      </c>
      <c r="AQ21" s="75">
        <f t="shared" si="1"/>
        <v>15295</v>
      </c>
      <c r="AR21" s="150" t="s">
        <v>80</v>
      </c>
      <c r="AS21" s="21">
        <f t="shared" si="2"/>
        <v>7541</v>
      </c>
      <c r="AT21" s="21">
        <f t="shared" si="3"/>
        <v>7541</v>
      </c>
      <c r="AU21" s="21">
        <f t="shared" si="4"/>
        <v>0</v>
      </c>
    </row>
    <row r="22" spans="1:47" ht="26.25" x14ac:dyDescent="0.25">
      <c r="A22" s="4" t="s">
        <v>55</v>
      </c>
      <c r="B22" s="4" t="s">
        <v>88</v>
      </c>
      <c r="C22" s="5" t="s">
        <v>86</v>
      </c>
      <c r="D22" s="151"/>
      <c r="E22" s="153"/>
      <c r="F22" s="151"/>
      <c r="G22" s="153"/>
      <c r="H22" s="151"/>
      <c r="I22" s="153"/>
      <c r="J22" s="151"/>
      <c r="K22" s="153"/>
      <c r="L22" s="151"/>
      <c r="M22" s="153"/>
      <c r="N22" s="151"/>
      <c r="O22" s="153"/>
      <c r="P22" s="151"/>
      <c r="Q22" s="153"/>
      <c r="R22" s="151"/>
      <c r="S22" s="153"/>
      <c r="T22" s="151">
        <v>1840</v>
      </c>
      <c r="U22" s="153">
        <v>1568</v>
      </c>
      <c r="V22" s="151"/>
      <c r="W22" s="153"/>
      <c r="X22" s="151"/>
      <c r="Y22" s="153"/>
      <c r="Z22" s="61">
        <f t="shared" si="0"/>
        <v>1840</v>
      </c>
      <c r="AA22" s="75">
        <f t="shared" si="0"/>
        <v>1568</v>
      </c>
      <c r="AB22" s="151"/>
      <c r="AC22" s="153"/>
      <c r="AD22" s="151"/>
      <c r="AE22" s="153"/>
      <c r="AF22" s="151"/>
      <c r="AG22" s="153"/>
      <c r="AH22" s="151"/>
      <c r="AI22" s="153"/>
      <c r="AJ22" s="151"/>
      <c r="AK22" s="153"/>
      <c r="AL22" s="151"/>
      <c r="AM22" s="153"/>
      <c r="AN22" s="151"/>
      <c r="AO22" s="153"/>
      <c r="AP22" s="61">
        <f t="shared" si="1"/>
        <v>1840</v>
      </c>
      <c r="AQ22" s="75">
        <f t="shared" si="1"/>
        <v>1568</v>
      </c>
      <c r="AR22" s="150" t="s">
        <v>80</v>
      </c>
      <c r="AS22" s="21">
        <f t="shared" si="2"/>
        <v>-272</v>
      </c>
      <c r="AT22" s="21">
        <f t="shared" si="3"/>
        <v>0</v>
      </c>
      <c r="AU22" s="21">
        <f t="shared" si="4"/>
        <v>-272</v>
      </c>
    </row>
    <row r="23" spans="1:47" x14ac:dyDescent="0.25">
      <c r="A23" s="4" t="s">
        <v>55</v>
      </c>
      <c r="B23" s="4" t="s">
        <v>90</v>
      </c>
      <c r="C23" s="5" t="s">
        <v>86</v>
      </c>
      <c r="D23" s="151"/>
      <c r="E23" s="153"/>
      <c r="F23" s="151"/>
      <c r="G23" s="153"/>
      <c r="H23" s="151"/>
      <c r="I23" s="153"/>
      <c r="J23" s="151"/>
      <c r="K23" s="153"/>
      <c r="L23" s="151"/>
      <c r="M23" s="153"/>
      <c r="N23" s="151"/>
      <c r="O23" s="153"/>
      <c r="P23" s="151"/>
      <c r="Q23" s="153"/>
      <c r="R23" s="151"/>
      <c r="S23" s="153"/>
      <c r="T23" s="151">
        <v>2870</v>
      </c>
      <c r="U23" s="153">
        <v>2950</v>
      </c>
      <c r="V23" s="151"/>
      <c r="W23" s="153"/>
      <c r="X23" s="151"/>
      <c r="Y23" s="153"/>
      <c r="Z23" s="61">
        <f t="shared" si="0"/>
        <v>2870</v>
      </c>
      <c r="AA23" s="75">
        <f t="shared" si="0"/>
        <v>2950</v>
      </c>
      <c r="AB23" s="151"/>
      <c r="AC23" s="153"/>
      <c r="AD23" s="151"/>
      <c r="AE23" s="153"/>
      <c r="AF23" s="151"/>
      <c r="AG23" s="153"/>
      <c r="AH23" s="151"/>
      <c r="AI23" s="153"/>
      <c r="AJ23" s="151"/>
      <c r="AK23" s="153"/>
      <c r="AL23" s="151"/>
      <c r="AM23" s="153"/>
      <c r="AN23" s="151"/>
      <c r="AO23" s="153"/>
      <c r="AP23" s="61">
        <f t="shared" si="1"/>
        <v>2870</v>
      </c>
      <c r="AQ23" s="75">
        <f t="shared" si="1"/>
        <v>2950</v>
      </c>
      <c r="AR23" s="150" t="s">
        <v>80</v>
      </c>
      <c r="AS23" s="21">
        <f t="shared" si="2"/>
        <v>80</v>
      </c>
      <c r="AT23" s="21">
        <f t="shared" si="3"/>
        <v>0</v>
      </c>
      <c r="AU23" s="21">
        <f t="shared" si="4"/>
        <v>80</v>
      </c>
    </row>
    <row r="24" spans="1:47" ht="28.5" customHeight="1" x14ac:dyDescent="0.25">
      <c r="A24" s="4" t="s">
        <v>55</v>
      </c>
      <c r="B24" s="4" t="s">
        <v>95</v>
      </c>
      <c r="C24" s="5" t="s">
        <v>96</v>
      </c>
      <c r="D24" s="151"/>
      <c r="E24" s="153"/>
      <c r="F24" s="151"/>
      <c r="G24" s="153"/>
      <c r="H24" s="151"/>
      <c r="I24" s="153"/>
      <c r="J24" s="151"/>
      <c r="K24" s="153"/>
      <c r="L24" s="151"/>
      <c r="M24" s="153"/>
      <c r="N24" s="151"/>
      <c r="O24" s="153"/>
      <c r="P24" s="151"/>
      <c r="Q24" s="153"/>
      <c r="R24" s="151"/>
      <c r="S24" s="153"/>
      <c r="T24" s="151"/>
      <c r="U24" s="153"/>
      <c r="V24" s="151">
        <v>5500</v>
      </c>
      <c r="W24" s="153">
        <v>3240</v>
      </c>
      <c r="X24" s="151"/>
      <c r="Y24" s="153"/>
      <c r="Z24" s="61">
        <f t="shared" si="0"/>
        <v>5500</v>
      </c>
      <c r="AA24" s="75">
        <f t="shared" si="0"/>
        <v>3240</v>
      </c>
      <c r="AB24" s="151"/>
      <c r="AC24" s="153"/>
      <c r="AD24" s="151"/>
      <c r="AE24" s="153"/>
      <c r="AF24" s="151"/>
      <c r="AG24" s="153"/>
      <c r="AH24" s="151"/>
      <c r="AI24" s="153"/>
      <c r="AJ24" s="151"/>
      <c r="AK24" s="153"/>
      <c r="AL24" s="151"/>
      <c r="AM24" s="153"/>
      <c r="AN24" s="151"/>
      <c r="AO24" s="153"/>
      <c r="AP24" s="61">
        <f t="shared" si="1"/>
        <v>5500</v>
      </c>
      <c r="AQ24" s="75">
        <f t="shared" si="1"/>
        <v>3240</v>
      </c>
      <c r="AR24" s="150" t="s">
        <v>80</v>
      </c>
      <c r="AS24" s="21">
        <f t="shared" si="2"/>
        <v>-2260</v>
      </c>
      <c r="AT24" s="21">
        <f t="shared" si="3"/>
        <v>0</v>
      </c>
      <c r="AU24" s="21">
        <f t="shared" si="4"/>
        <v>-2260</v>
      </c>
    </row>
    <row r="25" spans="1:47" x14ac:dyDescent="0.25">
      <c r="A25" s="4" t="s">
        <v>55</v>
      </c>
      <c r="B25" s="4" t="s">
        <v>97</v>
      </c>
      <c r="C25" s="5" t="s">
        <v>96</v>
      </c>
      <c r="D25" s="151"/>
      <c r="E25" s="153"/>
      <c r="F25" s="151"/>
      <c r="G25" s="153"/>
      <c r="H25" s="151"/>
      <c r="I25" s="153"/>
      <c r="J25" s="151"/>
      <c r="K25" s="153"/>
      <c r="L25" s="151"/>
      <c r="M25" s="153"/>
      <c r="N25" s="151"/>
      <c r="O25" s="153"/>
      <c r="P25" s="151"/>
      <c r="Q25" s="153"/>
      <c r="R25" s="151">
        <v>6570</v>
      </c>
      <c r="S25" s="153">
        <v>6210</v>
      </c>
      <c r="T25" s="151"/>
      <c r="U25" s="153"/>
      <c r="V25" s="151">
        <v>3000</v>
      </c>
      <c r="W25" s="153">
        <v>1350</v>
      </c>
      <c r="X25" s="151"/>
      <c r="Y25" s="153"/>
      <c r="Z25" s="61">
        <f t="shared" si="0"/>
        <v>9570</v>
      </c>
      <c r="AA25" s="75">
        <f t="shared" si="0"/>
        <v>7560</v>
      </c>
      <c r="AB25" s="151"/>
      <c r="AC25" s="153"/>
      <c r="AD25" s="151">
        <v>2800</v>
      </c>
      <c r="AE25" s="153">
        <v>3645</v>
      </c>
      <c r="AF25" s="151"/>
      <c r="AG25" s="153">
        <v>80</v>
      </c>
      <c r="AH25" s="151"/>
      <c r="AI25" s="153"/>
      <c r="AJ25" s="151"/>
      <c r="AK25" s="153"/>
      <c r="AL25" s="151"/>
      <c r="AM25" s="153"/>
      <c r="AN25" s="151"/>
      <c r="AO25" s="153"/>
      <c r="AP25" s="61">
        <f t="shared" si="1"/>
        <v>12370</v>
      </c>
      <c r="AQ25" s="75">
        <f t="shared" si="1"/>
        <v>11285</v>
      </c>
      <c r="AR25" s="150" t="s">
        <v>80</v>
      </c>
      <c r="AS25" s="21">
        <f t="shared" si="2"/>
        <v>-1085</v>
      </c>
      <c r="AT25" s="21">
        <f t="shared" si="3"/>
        <v>0</v>
      </c>
      <c r="AU25" s="21">
        <f t="shared" si="4"/>
        <v>-1085</v>
      </c>
    </row>
    <row r="26" spans="1:47" x14ac:dyDescent="0.25">
      <c r="A26" s="4" t="s">
        <v>55</v>
      </c>
      <c r="B26" s="4" t="s">
        <v>98</v>
      </c>
      <c r="C26" s="5" t="s">
        <v>99</v>
      </c>
      <c r="D26" s="151"/>
      <c r="E26" s="153"/>
      <c r="F26" s="151"/>
      <c r="G26" s="153"/>
      <c r="H26" s="151"/>
      <c r="I26" s="153"/>
      <c r="J26" s="151"/>
      <c r="K26" s="153"/>
      <c r="L26" s="151"/>
      <c r="M26" s="153"/>
      <c r="N26" s="151"/>
      <c r="O26" s="153"/>
      <c r="P26" s="151"/>
      <c r="Q26" s="153"/>
      <c r="R26" s="151">
        <v>240</v>
      </c>
      <c r="S26" s="153">
        <v>240</v>
      </c>
      <c r="T26" s="151"/>
      <c r="U26" s="153"/>
      <c r="V26" s="151"/>
      <c r="W26" s="153"/>
      <c r="X26" s="151"/>
      <c r="Y26" s="153"/>
      <c r="Z26" s="61">
        <f t="shared" si="0"/>
        <v>240</v>
      </c>
      <c r="AA26" s="75">
        <f t="shared" si="0"/>
        <v>240</v>
      </c>
      <c r="AB26" s="151"/>
      <c r="AC26" s="153"/>
      <c r="AD26" s="151">
        <v>65</v>
      </c>
      <c r="AE26" s="153">
        <v>0</v>
      </c>
      <c r="AF26" s="151">
        <v>55</v>
      </c>
      <c r="AG26" s="153">
        <v>100</v>
      </c>
      <c r="AH26" s="151"/>
      <c r="AI26" s="153"/>
      <c r="AJ26" s="151"/>
      <c r="AK26" s="153"/>
      <c r="AL26" s="151"/>
      <c r="AM26" s="153"/>
      <c r="AN26" s="151"/>
      <c r="AO26" s="153"/>
      <c r="AP26" s="61">
        <f t="shared" si="1"/>
        <v>360</v>
      </c>
      <c r="AQ26" s="75">
        <f t="shared" si="1"/>
        <v>340</v>
      </c>
      <c r="AR26" s="150" t="s">
        <v>58</v>
      </c>
      <c r="AS26" s="21">
        <f t="shared" si="2"/>
        <v>-20</v>
      </c>
      <c r="AT26" s="21">
        <f t="shared" si="3"/>
        <v>0</v>
      </c>
      <c r="AU26" s="21">
        <f t="shared" si="4"/>
        <v>-20</v>
      </c>
    </row>
    <row r="27" spans="1:47" ht="30" x14ac:dyDescent="0.25">
      <c r="A27" s="4" t="s">
        <v>55</v>
      </c>
      <c r="B27" s="4" t="s">
        <v>100</v>
      </c>
      <c r="C27" s="5" t="s">
        <v>101</v>
      </c>
      <c r="D27" s="151"/>
      <c r="E27" s="153"/>
      <c r="F27" s="151"/>
      <c r="G27" s="153"/>
      <c r="H27" s="151"/>
      <c r="I27" s="153"/>
      <c r="J27" s="151"/>
      <c r="K27" s="153"/>
      <c r="L27" s="151"/>
      <c r="M27" s="153"/>
      <c r="N27" s="151"/>
      <c r="O27" s="153"/>
      <c r="P27" s="151"/>
      <c r="Q27" s="153"/>
      <c r="R27" s="151"/>
      <c r="S27" s="153"/>
      <c r="T27" s="151"/>
      <c r="U27" s="153"/>
      <c r="V27" s="151"/>
      <c r="W27" s="153"/>
      <c r="X27" s="151"/>
      <c r="Y27" s="153"/>
      <c r="Z27" s="61">
        <f t="shared" si="0"/>
        <v>0</v>
      </c>
      <c r="AA27" s="75">
        <f t="shared" si="0"/>
        <v>0</v>
      </c>
      <c r="AB27" s="151"/>
      <c r="AC27" s="153"/>
      <c r="AD27" s="151"/>
      <c r="AE27" s="153"/>
      <c r="AF27" s="151"/>
      <c r="AG27" s="153"/>
      <c r="AH27" s="151"/>
      <c r="AI27" s="153"/>
      <c r="AJ27" s="151"/>
      <c r="AK27" s="153"/>
      <c r="AL27" s="151">
        <v>13828</v>
      </c>
      <c r="AM27" s="153">
        <v>13828</v>
      </c>
      <c r="AN27" s="151"/>
      <c r="AO27" s="153"/>
      <c r="AP27" s="61">
        <f t="shared" si="1"/>
        <v>13828</v>
      </c>
      <c r="AQ27" s="75">
        <f t="shared" si="1"/>
        <v>13828</v>
      </c>
      <c r="AR27" s="150" t="s">
        <v>102</v>
      </c>
      <c r="AS27" s="21">
        <f t="shared" si="2"/>
        <v>0</v>
      </c>
      <c r="AT27" s="21">
        <f t="shared" si="3"/>
        <v>0</v>
      </c>
      <c r="AU27" s="21">
        <f t="shared" si="4"/>
        <v>0</v>
      </c>
    </row>
    <row r="28" spans="1:47" ht="30" x14ac:dyDescent="0.25">
      <c r="A28" s="4" t="s">
        <v>55</v>
      </c>
      <c r="B28" s="4" t="s">
        <v>103</v>
      </c>
      <c r="C28" s="5" t="s">
        <v>104</v>
      </c>
      <c r="D28" s="151"/>
      <c r="E28" s="153"/>
      <c r="F28" s="151"/>
      <c r="G28" s="153"/>
      <c r="H28" s="151"/>
      <c r="I28" s="153"/>
      <c r="J28" s="151"/>
      <c r="K28" s="153"/>
      <c r="L28" s="151"/>
      <c r="M28" s="153"/>
      <c r="N28" s="151"/>
      <c r="O28" s="153"/>
      <c r="P28" s="151"/>
      <c r="Q28" s="153"/>
      <c r="R28" s="151">
        <v>1700</v>
      </c>
      <c r="S28" s="153">
        <v>2000</v>
      </c>
      <c r="T28" s="151"/>
      <c r="U28" s="153"/>
      <c r="V28" s="151"/>
      <c r="W28" s="153"/>
      <c r="X28" s="151"/>
      <c r="Y28" s="153"/>
      <c r="Z28" s="61">
        <f t="shared" si="0"/>
        <v>1700</v>
      </c>
      <c r="AA28" s="75">
        <f t="shared" si="0"/>
        <v>2000</v>
      </c>
      <c r="AB28" s="151"/>
      <c r="AC28" s="153"/>
      <c r="AD28" s="151"/>
      <c r="AE28" s="153"/>
      <c r="AF28" s="151">
        <v>85</v>
      </c>
      <c r="AG28" s="153">
        <v>80</v>
      </c>
      <c r="AH28" s="151"/>
      <c r="AI28" s="153"/>
      <c r="AJ28" s="151"/>
      <c r="AK28" s="153"/>
      <c r="AL28" s="151"/>
      <c r="AM28" s="153"/>
      <c r="AN28" s="151"/>
      <c r="AO28" s="153"/>
      <c r="AP28" s="61">
        <f t="shared" si="1"/>
        <v>1785</v>
      </c>
      <c r="AQ28" s="75">
        <f t="shared" si="1"/>
        <v>2080</v>
      </c>
      <c r="AR28" s="150" t="s">
        <v>102</v>
      </c>
      <c r="AS28" s="21">
        <f t="shared" si="2"/>
        <v>295</v>
      </c>
      <c r="AT28" s="21">
        <f t="shared" si="3"/>
        <v>0</v>
      </c>
      <c r="AU28" s="21">
        <f t="shared" si="4"/>
        <v>295</v>
      </c>
    </row>
    <row r="29" spans="1:47" x14ac:dyDescent="0.25">
      <c r="A29" s="4" t="s">
        <v>55</v>
      </c>
      <c r="B29" s="4" t="s">
        <v>105</v>
      </c>
      <c r="C29" s="5"/>
      <c r="D29" s="151">
        <v>7248</v>
      </c>
      <c r="E29" s="153">
        <v>7558</v>
      </c>
      <c r="F29" s="151"/>
      <c r="G29" s="153"/>
      <c r="H29" s="151"/>
      <c r="I29" s="153"/>
      <c r="J29" s="151"/>
      <c r="K29" s="153"/>
      <c r="L29" s="151"/>
      <c r="M29" s="153"/>
      <c r="N29" s="151"/>
      <c r="O29" s="153"/>
      <c r="P29" s="151"/>
      <c r="Q29" s="153"/>
      <c r="R29" s="151"/>
      <c r="S29" s="153"/>
      <c r="T29" s="151"/>
      <c r="U29" s="153"/>
      <c r="V29" s="151"/>
      <c r="W29" s="153"/>
      <c r="X29" s="151"/>
      <c r="Y29" s="153"/>
      <c r="Z29" s="61">
        <f t="shared" si="0"/>
        <v>7248</v>
      </c>
      <c r="AA29" s="75">
        <f t="shared" si="0"/>
        <v>7558</v>
      </c>
      <c r="AB29" s="151"/>
      <c r="AC29" s="153"/>
      <c r="AD29" s="151"/>
      <c r="AE29" s="153"/>
      <c r="AF29" s="151"/>
      <c r="AG29" s="153"/>
      <c r="AH29" s="151"/>
      <c r="AI29" s="153"/>
      <c r="AJ29" s="151"/>
      <c r="AK29" s="153"/>
      <c r="AL29" s="151"/>
      <c r="AM29" s="153"/>
      <c r="AN29" s="151"/>
      <c r="AO29" s="153"/>
      <c r="AP29" s="61">
        <f t="shared" si="1"/>
        <v>7248</v>
      </c>
      <c r="AQ29" s="75">
        <f t="shared" si="1"/>
        <v>7558</v>
      </c>
      <c r="AR29" s="150" t="s">
        <v>58</v>
      </c>
      <c r="AS29" s="21">
        <f t="shared" si="2"/>
        <v>310</v>
      </c>
      <c r="AT29" s="21">
        <f t="shared" si="3"/>
        <v>310</v>
      </c>
      <c r="AU29" s="21">
        <f t="shared" si="4"/>
        <v>0</v>
      </c>
    </row>
    <row r="30" spans="1:47" x14ac:dyDescent="0.25">
      <c r="A30" s="4" t="s">
        <v>55</v>
      </c>
      <c r="B30" s="4" t="s">
        <v>106</v>
      </c>
      <c r="C30" s="5"/>
      <c r="D30" s="151">
        <v>6598</v>
      </c>
      <c r="E30" s="153">
        <v>6478</v>
      </c>
      <c r="F30" s="151"/>
      <c r="G30" s="153"/>
      <c r="H30" s="151"/>
      <c r="I30" s="153"/>
      <c r="J30" s="151"/>
      <c r="K30" s="153"/>
      <c r="L30" s="151"/>
      <c r="M30" s="153"/>
      <c r="N30" s="151"/>
      <c r="O30" s="153"/>
      <c r="P30" s="151"/>
      <c r="Q30" s="153"/>
      <c r="R30" s="151"/>
      <c r="S30" s="153"/>
      <c r="T30" s="151"/>
      <c r="U30" s="153"/>
      <c r="V30" s="151"/>
      <c r="W30" s="153"/>
      <c r="X30" s="151"/>
      <c r="Y30" s="153"/>
      <c r="Z30" s="61">
        <f t="shared" si="0"/>
        <v>6598</v>
      </c>
      <c r="AA30" s="75">
        <f t="shared" si="0"/>
        <v>6478</v>
      </c>
      <c r="AB30" s="151"/>
      <c r="AC30" s="153"/>
      <c r="AD30" s="151"/>
      <c r="AE30" s="153"/>
      <c r="AF30" s="151"/>
      <c r="AG30" s="153"/>
      <c r="AH30" s="151"/>
      <c r="AI30" s="153"/>
      <c r="AJ30" s="151"/>
      <c r="AK30" s="153"/>
      <c r="AL30" s="151"/>
      <c r="AM30" s="153"/>
      <c r="AN30" s="151"/>
      <c r="AO30" s="153"/>
      <c r="AP30" s="61">
        <f t="shared" si="1"/>
        <v>6598</v>
      </c>
      <c r="AQ30" s="75">
        <f t="shared" si="1"/>
        <v>6478</v>
      </c>
      <c r="AR30" s="150" t="s">
        <v>58</v>
      </c>
      <c r="AS30" s="21">
        <f t="shared" si="2"/>
        <v>-120</v>
      </c>
      <c r="AT30" s="21">
        <f t="shared" si="3"/>
        <v>-120</v>
      </c>
      <c r="AU30" s="21">
        <f t="shared" si="4"/>
        <v>0</v>
      </c>
    </row>
    <row r="31" spans="1:47" x14ac:dyDescent="0.25">
      <c r="A31" s="16" t="s">
        <v>107</v>
      </c>
      <c r="B31" s="16" t="s">
        <v>108</v>
      </c>
      <c r="C31" s="17"/>
      <c r="D31" s="18">
        <f t="shared" ref="D31:AQ31" si="5">SUM(D8:D30)</f>
        <v>357171</v>
      </c>
      <c r="E31" s="105">
        <f t="shared" si="5"/>
        <v>371191</v>
      </c>
      <c r="F31" s="18">
        <f t="shared" si="5"/>
        <v>3935</v>
      </c>
      <c r="G31" s="18">
        <f t="shared" si="5"/>
        <v>4097</v>
      </c>
      <c r="H31" s="18">
        <f t="shared" si="5"/>
        <v>40760</v>
      </c>
      <c r="I31" s="18">
        <f t="shared" si="5"/>
        <v>38920</v>
      </c>
      <c r="J31" s="18">
        <f t="shared" si="5"/>
        <v>4042</v>
      </c>
      <c r="K31" s="18">
        <f t="shared" si="5"/>
        <v>4085</v>
      </c>
      <c r="L31" s="18">
        <f t="shared" si="5"/>
        <v>15565</v>
      </c>
      <c r="M31" s="18">
        <f t="shared" si="5"/>
        <v>15825</v>
      </c>
      <c r="N31" s="18">
        <f t="shared" si="5"/>
        <v>4021</v>
      </c>
      <c r="O31" s="18">
        <f t="shared" si="5"/>
        <v>4005</v>
      </c>
      <c r="P31" s="18">
        <f t="shared" si="5"/>
        <v>8710</v>
      </c>
      <c r="Q31" s="18">
        <f t="shared" si="5"/>
        <v>8630</v>
      </c>
      <c r="R31" s="18">
        <f t="shared" si="5"/>
        <v>14510</v>
      </c>
      <c r="S31" s="18">
        <f t="shared" si="5"/>
        <v>14230</v>
      </c>
      <c r="T31" s="18">
        <f t="shared" si="5"/>
        <v>12780</v>
      </c>
      <c r="U31" s="18">
        <f t="shared" si="5"/>
        <v>12711</v>
      </c>
      <c r="V31" s="18">
        <f t="shared" si="5"/>
        <v>8500</v>
      </c>
      <c r="W31" s="18">
        <f t="shared" si="5"/>
        <v>4590</v>
      </c>
      <c r="X31" s="18">
        <f t="shared" si="5"/>
        <v>200</v>
      </c>
      <c r="Y31" s="18">
        <f t="shared" si="5"/>
        <v>0</v>
      </c>
      <c r="Z31" s="18">
        <f t="shared" si="5"/>
        <v>470194</v>
      </c>
      <c r="AA31" s="18">
        <f t="shared" si="5"/>
        <v>478284</v>
      </c>
      <c r="AB31" s="18">
        <f t="shared" si="5"/>
        <v>120</v>
      </c>
      <c r="AC31" s="18">
        <f t="shared" si="5"/>
        <v>120</v>
      </c>
      <c r="AD31" s="18">
        <f t="shared" si="5"/>
        <v>39341</v>
      </c>
      <c r="AE31" s="18">
        <f t="shared" si="5"/>
        <v>39640</v>
      </c>
      <c r="AF31" s="18">
        <f t="shared" si="5"/>
        <v>26955</v>
      </c>
      <c r="AG31" s="18">
        <f t="shared" si="5"/>
        <v>25281</v>
      </c>
      <c r="AH31" s="18">
        <f t="shared" si="5"/>
        <v>2631</v>
      </c>
      <c r="AI31" s="18">
        <f t="shared" si="5"/>
        <v>2590</v>
      </c>
      <c r="AJ31" s="18">
        <f t="shared" si="5"/>
        <v>0</v>
      </c>
      <c r="AK31" s="18">
        <f t="shared" si="5"/>
        <v>0</v>
      </c>
      <c r="AL31" s="18">
        <f t="shared" si="5"/>
        <v>13828</v>
      </c>
      <c r="AM31" s="18">
        <f t="shared" si="5"/>
        <v>13828</v>
      </c>
      <c r="AN31" s="18">
        <f t="shared" si="5"/>
        <v>835</v>
      </c>
      <c r="AO31" s="18">
        <f t="shared" si="5"/>
        <v>35</v>
      </c>
      <c r="AP31" s="18">
        <f t="shared" si="5"/>
        <v>553904</v>
      </c>
      <c r="AQ31" s="18">
        <f t="shared" si="5"/>
        <v>559778</v>
      </c>
      <c r="AR31" s="150"/>
      <c r="AS31" s="156">
        <f t="shared" si="2"/>
        <v>5874</v>
      </c>
      <c r="AT31" s="156">
        <f t="shared" si="3"/>
        <v>14020</v>
      </c>
      <c r="AU31" s="156">
        <f t="shared" si="4"/>
        <v>-8146</v>
      </c>
    </row>
    <row r="32" spans="1:47" x14ac:dyDescent="0.25">
      <c r="A32" s="4" t="s">
        <v>109</v>
      </c>
      <c r="B32" s="4" t="s">
        <v>56</v>
      </c>
      <c r="C32" s="5" t="s">
        <v>57</v>
      </c>
      <c r="D32" s="151">
        <v>27441</v>
      </c>
      <c r="E32" s="153">
        <v>25939</v>
      </c>
      <c r="F32" s="151">
        <v>700</v>
      </c>
      <c r="G32" s="153">
        <v>680</v>
      </c>
      <c r="H32" s="151">
        <v>2800</v>
      </c>
      <c r="I32" s="153">
        <v>2600</v>
      </c>
      <c r="J32" s="151">
        <v>80</v>
      </c>
      <c r="K32" s="153">
        <v>80</v>
      </c>
      <c r="L32" s="151">
        <v>660</v>
      </c>
      <c r="M32" s="153">
        <v>630</v>
      </c>
      <c r="N32" s="151">
        <v>130</v>
      </c>
      <c r="O32" s="153">
        <v>130</v>
      </c>
      <c r="P32" s="151"/>
      <c r="Q32" s="153"/>
      <c r="R32" s="151">
        <v>1750</v>
      </c>
      <c r="S32" s="153">
        <v>1500</v>
      </c>
      <c r="T32" s="151"/>
      <c r="U32" s="153"/>
      <c r="V32" s="151"/>
      <c r="W32" s="153"/>
      <c r="X32" s="151"/>
      <c r="Y32" s="153"/>
      <c r="Z32" s="61">
        <f t="shared" ref="Z32:AA57" si="6">D32+F32+H32+J32+L32+P32+R32+T32+V32+X32+N32</f>
        <v>33561</v>
      </c>
      <c r="AA32" s="75">
        <f t="shared" si="6"/>
        <v>31559</v>
      </c>
      <c r="AB32" s="151">
        <v>150</v>
      </c>
      <c r="AC32" s="153">
        <v>100</v>
      </c>
      <c r="AD32" s="151">
        <v>8050</v>
      </c>
      <c r="AE32" s="153">
        <v>7400</v>
      </c>
      <c r="AF32" s="151">
        <v>4600</v>
      </c>
      <c r="AG32" s="153">
        <v>4500</v>
      </c>
      <c r="AH32" s="151"/>
      <c r="AI32" s="153"/>
      <c r="AJ32" s="151"/>
      <c r="AK32" s="153"/>
      <c r="AL32" s="151"/>
      <c r="AM32" s="153"/>
      <c r="AN32" s="151"/>
      <c r="AO32" s="153"/>
      <c r="AP32" s="61">
        <f t="shared" ref="AP32:AQ57" si="7">Z32+AB32+AD32+AF32+AH32+AJ32+AL32+AN32</f>
        <v>46361</v>
      </c>
      <c r="AQ32" s="75">
        <f t="shared" si="7"/>
        <v>43559</v>
      </c>
      <c r="AR32" s="150" t="s">
        <v>58</v>
      </c>
      <c r="AS32" s="21">
        <f t="shared" si="2"/>
        <v>-2802</v>
      </c>
      <c r="AT32" s="21">
        <f t="shared" si="3"/>
        <v>-1502</v>
      </c>
      <c r="AU32" s="21">
        <f t="shared" si="4"/>
        <v>-1300</v>
      </c>
    </row>
    <row r="33" spans="1:47" x14ac:dyDescent="0.25">
      <c r="A33" s="4" t="s">
        <v>109</v>
      </c>
      <c r="B33" s="4" t="s">
        <v>98</v>
      </c>
      <c r="C33" s="5" t="s">
        <v>99</v>
      </c>
      <c r="D33" s="151"/>
      <c r="E33" s="153"/>
      <c r="F33" s="151">
        <v>170</v>
      </c>
      <c r="G33" s="153">
        <v>170</v>
      </c>
      <c r="H33" s="151"/>
      <c r="I33" s="153"/>
      <c r="J33" s="151"/>
      <c r="K33" s="153"/>
      <c r="L33" s="151"/>
      <c r="M33" s="153"/>
      <c r="N33" s="151"/>
      <c r="O33" s="153"/>
      <c r="P33" s="151"/>
      <c r="Q33" s="153"/>
      <c r="R33" s="151">
        <v>130</v>
      </c>
      <c r="S33" s="153">
        <v>120</v>
      </c>
      <c r="T33" s="151"/>
      <c r="U33" s="153"/>
      <c r="V33" s="151"/>
      <c r="W33" s="153"/>
      <c r="X33" s="151"/>
      <c r="Y33" s="153"/>
      <c r="Z33" s="61">
        <f t="shared" si="6"/>
        <v>300</v>
      </c>
      <c r="AA33" s="75">
        <f t="shared" si="6"/>
        <v>290</v>
      </c>
      <c r="AB33" s="151"/>
      <c r="AC33" s="153"/>
      <c r="AD33" s="151">
        <v>80</v>
      </c>
      <c r="AE33" s="153">
        <v>60</v>
      </c>
      <c r="AF33" s="151">
        <v>100</v>
      </c>
      <c r="AG33" s="153">
        <v>90</v>
      </c>
      <c r="AH33" s="151"/>
      <c r="AI33" s="153"/>
      <c r="AJ33" s="151"/>
      <c r="AK33" s="153"/>
      <c r="AL33" s="151"/>
      <c r="AM33" s="153"/>
      <c r="AN33" s="151"/>
      <c r="AO33" s="153"/>
      <c r="AP33" s="61">
        <f t="shared" si="7"/>
        <v>480</v>
      </c>
      <c r="AQ33" s="75">
        <f t="shared" si="7"/>
        <v>440</v>
      </c>
      <c r="AR33" s="150" t="s">
        <v>58</v>
      </c>
      <c r="AS33" s="21">
        <f t="shared" si="2"/>
        <v>-40</v>
      </c>
      <c r="AT33" s="21">
        <f t="shared" si="3"/>
        <v>0</v>
      </c>
      <c r="AU33" s="21">
        <f t="shared" si="4"/>
        <v>-40</v>
      </c>
    </row>
    <row r="34" spans="1:47" ht="30" x14ac:dyDescent="0.25">
      <c r="A34" s="4" t="s">
        <v>109</v>
      </c>
      <c r="B34" s="4" t="s">
        <v>110</v>
      </c>
      <c r="C34" s="5" t="s">
        <v>104</v>
      </c>
      <c r="D34" s="151"/>
      <c r="E34" s="153"/>
      <c r="F34" s="151">
        <v>170</v>
      </c>
      <c r="G34" s="153">
        <v>170</v>
      </c>
      <c r="H34" s="151"/>
      <c r="I34" s="153"/>
      <c r="J34" s="151"/>
      <c r="K34" s="153"/>
      <c r="L34" s="151"/>
      <c r="M34" s="153"/>
      <c r="N34" s="151"/>
      <c r="O34" s="153"/>
      <c r="P34" s="151"/>
      <c r="Q34" s="153"/>
      <c r="R34" s="151">
        <v>700</v>
      </c>
      <c r="S34" s="153">
        <v>650</v>
      </c>
      <c r="T34" s="151"/>
      <c r="U34" s="153"/>
      <c r="V34" s="151"/>
      <c r="W34" s="153"/>
      <c r="X34" s="151"/>
      <c r="Y34" s="153"/>
      <c r="Z34" s="61">
        <f t="shared" si="6"/>
        <v>870</v>
      </c>
      <c r="AA34" s="75">
        <f t="shared" si="6"/>
        <v>820</v>
      </c>
      <c r="AB34" s="151"/>
      <c r="AC34" s="153"/>
      <c r="AD34" s="151">
        <v>80</v>
      </c>
      <c r="AE34" s="153">
        <v>60</v>
      </c>
      <c r="AF34" s="151">
        <v>100</v>
      </c>
      <c r="AG34" s="153">
        <v>90</v>
      </c>
      <c r="AH34" s="151"/>
      <c r="AI34" s="153"/>
      <c r="AJ34" s="151"/>
      <c r="AK34" s="153"/>
      <c r="AL34" s="151"/>
      <c r="AM34" s="153"/>
      <c r="AN34" s="151"/>
      <c r="AO34" s="153"/>
      <c r="AP34" s="61">
        <f t="shared" si="7"/>
        <v>1050</v>
      </c>
      <c r="AQ34" s="75">
        <f t="shared" si="7"/>
        <v>970</v>
      </c>
      <c r="AR34" s="150" t="s">
        <v>111</v>
      </c>
      <c r="AS34" s="21">
        <f t="shared" si="2"/>
        <v>-80</v>
      </c>
      <c r="AT34" s="21">
        <f t="shared" si="3"/>
        <v>0</v>
      </c>
      <c r="AU34" s="21">
        <f t="shared" si="4"/>
        <v>-80</v>
      </c>
    </row>
    <row r="35" spans="1:47" ht="26.25" x14ac:dyDescent="0.25">
      <c r="A35" s="4" t="s">
        <v>109</v>
      </c>
      <c r="B35" s="4" t="s">
        <v>65</v>
      </c>
      <c r="C35" s="5" t="s">
        <v>60</v>
      </c>
      <c r="D35" s="151">
        <v>117950</v>
      </c>
      <c r="E35" s="153">
        <v>140907</v>
      </c>
      <c r="F35" s="151">
        <v>170</v>
      </c>
      <c r="G35" s="153">
        <v>170</v>
      </c>
      <c r="H35" s="151"/>
      <c r="I35" s="153"/>
      <c r="J35" s="151">
        <v>140</v>
      </c>
      <c r="K35" s="153">
        <v>180</v>
      </c>
      <c r="L35" s="151">
        <v>130</v>
      </c>
      <c r="M35" s="153">
        <v>200</v>
      </c>
      <c r="N35" s="151">
        <v>4700</v>
      </c>
      <c r="O35" s="153">
        <v>4600</v>
      </c>
      <c r="P35" s="151"/>
      <c r="Q35" s="153"/>
      <c r="R35" s="151">
        <v>3400</v>
      </c>
      <c r="S35" s="153">
        <v>3100</v>
      </c>
      <c r="T35" s="151"/>
      <c r="U35" s="153"/>
      <c r="V35" s="151"/>
      <c r="W35" s="153"/>
      <c r="X35" s="151"/>
      <c r="Y35" s="153"/>
      <c r="Z35" s="61">
        <f t="shared" si="6"/>
        <v>126490</v>
      </c>
      <c r="AA35" s="75">
        <f t="shared" si="6"/>
        <v>149157</v>
      </c>
      <c r="AB35" s="151"/>
      <c r="AC35" s="153"/>
      <c r="AD35" s="151">
        <v>3050</v>
      </c>
      <c r="AE35" s="153">
        <v>2950</v>
      </c>
      <c r="AF35" s="151">
        <v>4600</v>
      </c>
      <c r="AG35" s="153">
        <v>4400</v>
      </c>
      <c r="AH35" s="151"/>
      <c r="AI35" s="153"/>
      <c r="AJ35" s="151"/>
      <c r="AK35" s="153"/>
      <c r="AL35" s="151"/>
      <c r="AM35" s="153"/>
      <c r="AN35" s="151"/>
      <c r="AO35" s="153"/>
      <c r="AP35" s="61">
        <f t="shared" si="7"/>
        <v>134140</v>
      </c>
      <c r="AQ35" s="75">
        <f t="shared" si="7"/>
        <v>156507</v>
      </c>
      <c r="AR35" s="150" t="s">
        <v>61</v>
      </c>
      <c r="AS35" s="21">
        <f t="shared" si="2"/>
        <v>22367</v>
      </c>
      <c r="AT35" s="21">
        <f t="shared" si="3"/>
        <v>22957</v>
      </c>
      <c r="AU35" s="21">
        <f t="shared" si="4"/>
        <v>-590</v>
      </c>
    </row>
    <row r="36" spans="1:47" x14ac:dyDescent="0.25">
      <c r="A36" s="4" t="s">
        <v>109</v>
      </c>
      <c r="B36" s="4" t="s">
        <v>112</v>
      </c>
      <c r="C36" s="5" t="s">
        <v>67</v>
      </c>
      <c r="D36" s="151"/>
      <c r="E36" s="153"/>
      <c r="F36" s="151"/>
      <c r="G36" s="153"/>
      <c r="H36" s="151">
        <v>800</v>
      </c>
      <c r="I36" s="153">
        <v>760</v>
      </c>
      <c r="J36" s="151"/>
      <c r="K36" s="153"/>
      <c r="L36" s="151">
        <v>380</v>
      </c>
      <c r="M36" s="153">
        <v>380</v>
      </c>
      <c r="N36" s="151"/>
      <c r="O36" s="153"/>
      <c r="P36" s="151"/>
      <c r="Q36" s="153"/>
      <c r="R36" s="151"/>
      <c r="S36" s="153"/>
      <c r="T36" s="151"/>
      <c r="U36" s="153"/>
      <c r="V36" s="151"/>
      <c r="W36" s="153"/>
      <c r="X36" s="151"/>
      <c r="Y36" s="153"/>
      <c r="Z36" s="61">
        <f t="shared" si="6"/>
        <v>1180</v>
      </c>
      <c r="AA36" s="75">
        <f t="shared" si="6"/>
        <v>1140</v>
      </c>
      <c r="AB36" s="151"/>
      <c r="AC36" s="153"/>
      <c r="AD36" s="151"/>
      <c r="AE36" s="153"/>
      <c r="AF36" s="151"/>
      <c r="AG36" s="153"/>
      <c r="AH36" s="151"/>
      <c r="AI36" s="153"/>
      <c r="AJ36" s="151"/>
      <c r="AK36" s="153"/>
      <c r="AL36" s="151"/>
      <c r="AM36" s="153"/>
      <c r="AN36" s="151"/>
      <c r="AO36" s="153"/>
      <c r="AP36" s="61">
        <f t="shared" si="7"/>
        <v>1180</v>
      </c>
      <c r="AQ36" s="75">
        <f t="shared" si="7"/>
        <v>1140</v>
      </c>
      <c r="AR36" s="150" t="s">
        <v>68</v>
      </c>
      <c r="AS36" s="21">
        <f t="shared" si="2"/>
        <v>-40</v>
      </c>
      <c r="AT36" s="21">
        <f t="shared" si="3"/>
        <v>0</v>
      </c>
      <c r="AU36" s="21">
        <f t="shared" si="4"/>
        <v>-40</v>
      </c>
    </row>
    <row r="37" spans="1:47" x14ac:dyDescent="0.25">
      <c r="A37" s="4" t="s">
        <v>109</v>
      </c>
      <c r="B37" s="4" t="s">
        <v>77</v>
      </c>
      <c r="C37" s="5" t="s">
        <v>73</v>
      </c>
      <c r="D37" s="151">
        <v>32760</v>
      </c>
      <c r="E37" s="153">
        <v>33013</v>
      </c>
      <c r="F37" s="151">
        <v>180</v>
      </c>
      <c r="G37" s="153">
        <v>180</v>
      </c>
      <c r="H37" s="151">
        <v>8400</v>
      </c>
      <c r="I37" s="153">
        <v>8000</v>
      </c>
      <c r="J37" s="151">
        <v>250</v>
      </c>
      <c r="K37" s="153">
        <v>220</v>
      </c>
      <c r="L37" s="151">
        <v>1350</v>
      </c>
      <c r="M37" s="153">
        <v>1350</v>
      </c>
      <c r="N37" s="151">
        <v>130</v>
      </c>
      <c r="O37" s="153">
        <v>130</v>
      </c>
      <c r="P37" s="151"/>
      <c r="Q37" s="153"/>
      <c r="R37" s="151">
        <v>400</v>
      </c>
      <c r="S37" s="153">
        <v>350</v>
      </c>
      <c r="T37" s="151"/>
      <c r="U37" s="153"/>
      <c r="V37" s="151"/>
      <c r="W37" s="153"/>
      <c r="X37" s="151"/>
      <c r="Y37" s="153"/>
      <c r="Z37" s="61">
        <f t="shared" si="6"/>
        <v>43470</v>
      </c>
      <c r="AA37" s="75">
        <f t="shared" si="6"/>
        <v>43243</v>
      </c>
      <c r="AB37" s="151">
        <v>80</v>
      </c>
      <c r="AC37" s="153">
        <v>70</v>
      </c>
      <c r="AD37" s="151">
        <v>7350</v>
      </c>
      <c r="AE37" s="153">
        <v>6800</v>
      </c>
      <c r="AF37" s="151">
        <v>2930</v>
      </c>
      <c r="AG37" s="153">
        <v>2900</v>
      </c>
      <c r="AH37" s="151"/>
      <c r="AI37" s="153"/>
      <c r="AJ37" s="151"/>
      <c r="AK37" s="153"/>
      <c r="AL37" s="151"/>
      <c r="AM37" s="153"/>
      <c r="AN37" s="151"/>
      <c r="AO37" s="153"/>
      <c r="AP37" s="61">
        <f t="shared" si="7"/>
        <v>53830</v>
      </c>
      <c r="AQ37" s="75">
        <f t="shared" si="7"/>
        <v>53013</v>
      </c>
      <c r="AR37" s="150" t="s">
        <v>74</v>
      </c>
      <c r="AS37" s="21">
        <f t="shared" si="2"/>
        <v>-817</v>
      </c>
      <c r="AT37" s="21">
        <f t="shared" si="3"/>
        <v>253</v>
      </c>
      <c r="AU37" s="21">
        <f t="shared" si="4"/>
        <v>-1070</v>
      </c>
    </row>
    <row r="38" spans="1:47" x14ac:dyDescent="0.25">
      <c r="A38" s="4" t="s">
        <v>109</v>
      </c>
      <c r="B38" s="4" t="s">
        <v>113</v>
      </c>
      <c r="C38" s="6" t="s">
        <v>79</v>
      </c>
      <c r="D38" s="151">
        <v>5912</v>
      </c>
      <c r="E38" s="153">
        <v>6170</v>
      </c>
      <c r="F38" s="151"/>
      <c r="G38" s="153"/>
      <c r="H38" s="151"/>
      <c r="I38" s="153"/>
      <c r="J38" s="151"/>
      <c r="K38" s="153"/>
      <c r="L38" s="151"/>
      <c r="M38" s="153"/>
      <c r="N38" s="151"/>
      <c r="O38" s="153"/>
      <c r="P38" s="151"/>
      <c r="Q38" s="153"/>
      <c r="R38" s="151"/>
      <c r="S38" s="153"/>
      <c r="T38" s="151"/>
      <c r="U38" s="153"/>
      <c r="V38" s="151"/>
      <c r="W38" s="153"/>
      <c r="X38" s="151"/>
      <c r="Y38" s="153"/>
      <c r="Z38" s="61">
        <f t="shared" si="6"/>
        <v>5912</v>
      </c>
      <c r="AA38" s="75">
        <f t="shared" si="6"/>
        <v>6170</v>
      </c>
      <c r="AB38" s="151"/>
      <c r="AC38" s="153"/>
      <c r="AD38" s="151">
        <v>250</v>
      </c>
      <c r="AE38" s="153">
        <v>230</v>
      </c>
      <c r="AF38" s="151">
        <v>400</v>
      </c>
      <c r="AG38" s="153">
        <v>380</v>
      </c>
      <c r="AH38" s="151"/>
      <c r="AI38" s="153"/>
      <c r="AJ38" s="151"/>
      <c r="AK38" s="153"/>
      <c r="AL38" s="151"/>
      <c r="AM38" s="153"/>
      <c r="AN38" s="151"/>
      <c r="AO38" s="153"/>
      <c r="AP38" s="61">
        <f t="shared" si="7"/>
        <v>6562</v>
      </c>
      <c r="AQ38" s="75">
        <f t="shared" si="7"/>
        <v>6780</v>
      </c>
      <c r="AR38" s="150" t="s">
        <v>80</v>
      </c>
      <c r="AS38" s="21">
        <f t="shared" si="2"/>
        <v>218</v>
      </c>
      <c r="AT38" s="21">
        <f t="shared" si="3"/>
        <v>258</v>
      </c>
      <c r="AU38" s="21">
        <f t="shared" si="4"/>
        <v>-40</v>
      </c>
    </row>
    <row r="39" spans="1:47" x14ac:dyDescent="0.25">
      <c r="A39" s="4" t="s">
        <v>109</v>
      </c>
      <c r="B39" s="4" t="s">
        <v>114</v>
      </c>
      <c r="C39" s="5" t="s">
        <v>73</v>
      </c>
      <c r="D39" s="151">
        <v>10811</v>
      </c>
      <c r="E39" s="153">
        <v>11524</v>
      </c>
      <c r="F39" s="151">
        <v>50</v>
      </c>
      <c r="G39" s="153">
        <v>50</v>
      </c>
      <c r="H39" s="151">
        <v>1100</v>
      </c>
      <c r="I39" s="153">
        <v>1000</v>
      </c>
      <c r="J39" s="151">
        <v>40</v>
      </c>
      <c r="K39" s="153">
        <v>40</v>
      </c>
      <c r="L39" s="151">
        <v>450</v>
      </c>
      <c r="M39" s="153">
        <v>430</v>
      </c>
      <c r="N39" s="151"/>
      <c r="O39" s="153"/>
      <c r="P39" s="151"/>
      <c r="Q39" s="153"/>
      <c r="R39" s="151">
        <v>80</v>
      </c>
      <c r="S39" s="153">
        <v>70</v>
      </c>
      <c r="T39" s="151"/>
      <c r="U39" s="153"/>
      <c r="V39" s="151"/>
      <c r="W39" s="153"/>
      <c r="X39" s="151"/>
      <c r="Y39" s="153"/>
      <c r="Z39" s="61">
        <f t="shared" si="6"/>
        <v>12531</v>
      </c>
      <c r="AA39" s="75">
        <f t="shared" si="6"/>
        <v>13114</v>
      </c>
      <c r="AB39" s="151"/>
      <c r="AC39" s="153"/>
      <c r="AD39" s="151">
        <v>420</v>
      </c>
      <c r="AE39" s="153">
        <v>350</v>
      </c>
      <c r="AF39" s="151">
        <v>730</v>
      </c>
      <c r="AG39" s="153">
        <v>700</v>
      </c>
      <c r="AH39" s="151">
        <v>1900</v>
      </c>
      <c r="AI39" s="153">
        <v>1600</v>
      </c>
      <c r="AJ39" s="151"/>
      <c r="AK39" s="153"/>
      <c r="AL39" s="151"/>
      <c r="AM39" s="153"/>
      <c r="AN39" s="151"/>
      <c r="AO39" s="153"/>
      <c r="AP39" s="61">
        <f t="shared" si="7"/>
        <v>15581</v>
      </c>
      <c r="AQ39" s="75">
        <f t="shared" si="7"/>
        <v>15764</v>
      </c>
      <c r="AR39" s="150" t="s">
        <v>74</v>
      </c>
      <c r="AS39" s="21">
        <f t="shared" si="2"/>
        <v>183</v>
      </c>
      <c r="AT39" s="21">
        <f t="shared" si="3"/>
        <v>713</v>
      </c>
      <c r="AU39" s="21">
        <f t="shared" si="4"/>
        <v>-530</v>
      </c>
    </row>
    <row r="40" spans="1:47" x14ac:dyDescent="0.25">
      <c r="A40" s="4" t="s">
        <v>109</v>
      </c>
      <c r="B40" s="4" t="s">
        <v>115</v>
      </c>
      <c r="C40" s="5" t="s">
        <v>73</v>
      </c>
      <c r="D40" s="151">
        <v>6329</v>
      </c>
      <c r="E40" s="153">
        <v>6748</v>
      </c>
      <c r="F40" s="151">
        <v>50</v>
      </c>
      <c r="G40" s="153">
        <v>50</v>
      </c>
      <c r="H40" s="151"/>
      <c r="I40" s="153"/>
      <c r="J40" s="151">
        <v>30</v>
      </c>
      <c r="K40" s="153">
        <v>20</v>
      </c>
      <c r="L40" s="151">
        <v>250</v>
      </c>
      <c r="M40" s="153">
        <v>240</v>
      </c>
      <c r="N40" s="151"/>
      <c r="O40" s="153"/>
      <c r="P40" s="151"/>
      <c r="Q40" s="153"/>
      <c r="R40" s="151">
        <v>50</v>
      </c>
      <c r="S40" s="153">
        <v>40</v>
      </c>
      <c r="T40" s="151"/>
      <c r="U40" s="153"/>
      <c r="V40" s="151"/>
      <c r="W40" s="153"/>
      <c r="X40" s="151"/>
      <c r="Y40" s="153"/>
      <c r="Z40" s="61">
        <f t="shared" si="6"/>
        <v>6709</v>
      </c>
      <c r="AA40" s="75">
        <f t="shared" si="6"/>
        <v>7098</v>
      </c>
      <c r="AB40" s="151"/>
      <c r="AC40" s="153"/>
      <c r="AD40" s="151">
        <v>250</v>
      </c>
      <c r="AE40" s="153">
        <v>200</v>
      </c>
      <c r="AF40" s="151">
        <v>570</v>
      </c>
      <c r="AG40" s="153">
        <v>530</v>
      </c>
      <c r="AH40" s="151">
        <v>950</v>
      </c>
      <c r="AI40" s="153">
        <v>816</v>
      </c>
      <c r="AJ40" s="151"/>
      <c r="AK40" s="153"/>
      <c r="AL40" s="151"/>
      <c r="AM40" s="153"/>
      <c r="AN40" s="151"/>
      <c r="AO40" s="153"/>
      <c r="AP40" s="61">
        <f t="shared" si="7"/>
        <v>8479</v>
      </c>
      <c r="AQ40" s="75">
        <f t="shared" si="7"/>
        <v>8644</v>
      </c>
      <c r="AR40" s="150" t="s">
        <v>74</v>
      </c>
      <c r="AS40" s="21">
        <f t="shared" si="2"/>
        <v>165</v>
      </c>
      <c r="AT40" s="21">
        <f t="shared" si="3"/>
        <v>419</v>
      </c>
      <c r="AU40" s="21">
        <f t="shared" si="4"/>
        <v>-254</v>
      </c>
    </row>
    <row r="41" spans="1:47" x14ac:dyDescent="0.25">
      <c r="A41" s="4" t="s">
        <v>109</v>
      </c>
      <c r="B41" s="4" t="s">
        <v>85</v>
      </c>
      <c r="C41" s="5" t="s">
        <v>86</v>
      </c>
      <c r="D41" s="151">
        <v>34368</v>
      </c>
      <c r="E41" s="153">
        <v>5843</v>
      </c>
      <c r="F41" s="151">
        <v>640</v>
      </c>
      <c r="G41" s="153">
        <v>640</v>
      </c>
      <c r="H41" s="151">
        <v>37000</v>
      </c>
      <c r="I41" s="153">
        <v>35000</v>
      </c>
      <c r="J41" s="151">
        <v>4600</v>
      </c>
      <c r="K41" s="153">
        <v>4400</v>
      </c>
      <c r="L41" s="151">
        <v>7200</v>
      </c>
      <c r="M41" s="153">
        <v>7000</v>
      </c>
      <c r="N41" s="151">
        <v>550</v>
      </c>
      <c r="O41" s="153">
        <v>530</v>
      </c>
      <c r="P41" s="151"/>
      <c r="Q41" s="153"/>
      <c r="R41" s="151">
        <v>750</v>
      </c>
      <c r="S41" s="153">
        <v>750</v>
      </c>
      <c r="T41" s="151">
        <v>3681</v>
      </c>
      <c r="U41" s="153">
        <v>3681</v>
      </c>
      <c r="V41" s="151"/>
      <c r="W41" s="153"/>
      <c r="X41" s="151"/>
      <c r="Y41" s="153"/>
      <c r="Z41" s="61">
        <f t="shared" si="6"/>
        <v>88789</v>
      </c>
      <c r="AA41" s="75">
        <f t="shared" si="6"/>
        <v>57844</v>
      </c>
      <c r="AB41" s="151">
        <v>100</v>
      </c>
      <c r="AC41" s="153">
        <v>100</v>
      </c>
      <c r="AD41" s="151">
        <v>7690</v>
      </c>
      <c r="AE41" s="153">
        <v>7550</v>
      </c>
      <c r="AF41" s="151">
        <v>9000</v>
      </c>
      <c r="AG41" s="153">
        <v>8300</v>
      </c>
      <c r="AH41" s="151"/>
      <c r="AI41" s="153"/>
      <c r="AJ41" s="151"/>
      <c r="AK41" s="153"/>
      <c r="AL41" s="151"/>
      <c r="AM41" s="153"/>
      <c r="AN41" s="151"/>
      <c r="AO41" s="153"/>
      <c r="AP41" s="61">
        <f t="shared" si="7"/>
        <v>105579</v>
      </c>
      <c r="AQ41" s="75">
        <f t="shared" si="7"/>
        <v>73794</v>
      </c>
      <c r="AR41" s="150" t="s">
        <v>80</v>
      </c>
      <c r="AS41" s="21">
        <f t="shared" si="2"/>
        <v>-31785</v>
      </c>
      <c r="AT41" s="21">
        <f t="shared" si="3"/>
        <v>-28525</v>
      </c>
      <c r="AU41" s="21">
        <f t="shared" si="4"/>
        <v>-3260</v>
      </c>
    </row>
    <row r="42" spans="1:47" x14ac:dyDescent="0.25">
      <c r="A42" s="66" t="s">
        <v>109</v>
      </c>
      <c r="B42" s="66" t="s">
        <v>116</v>
      </c>
      <c r="C42" s="6" t="s">
        <v>96</v>
      </c>
      <c r="D42" s="151"/>
      <c r="E42" s="153">
        <v>45486</v>
      </c>
      <c r="F42" s="151"/>
      <c r="G42" s="153"/>
      <c r="H42" s="151"/>
      <c r="I42" s="153"/>
      <c r="J42" s="151"/>
      <c r="K42" s="153"/>
      <c r="L42" s="151"/>
      <c r="M42" s="153"/>
      <c r="N42" s="151"/>
      <c r="O42" s="153"/>
      <c r="P42" s="151"/>
      <c r="Q42" s="153"/>
      <c r="R42" s="151"/>
      <c r="S42" s="153"/>
      <c r="T42" s="151"/>
      <c r="U42" s="153"/>
      <c r="V42" s="151"/>
      <c r="W42" s="153"/>
      <c r="X42" s="151"/>
      <c r="Y42" s="153"/>
      <c r="Z42" s="61">
        <f t="shared" si="6"/>
        <v>0</v>
      </c>
      <c r="AA42" s="75">
        <f t="shared" si="6"/>
        <v>45486</v>
      </c>
      <c r="AB42" s="151"/>
      <c r="AC42" s="153"/>
      <c r="AD42" s="151"/>
      <c r="AE42" s="153"/>
      <c r="AF42" s="151"/>
      <c r="AG42" s="153"/>
      <c r="AH42" s="151"/>
      <c r="AI42" s="153"/>
      <c r="AJ42" s="151"/>
      <c r="AK42" s="153"/>
      <c r="AL42" s="151"/>
      <c r="AM42" s="153"/>
      <c r="AN42" s="151"/>
      <c r="AO42" s="153"/>
      <c r="AP42" s="61">
        <f t="shared" si="7"/>
        <v>0</v>
      </c>
      <c r="AQ42" s="75">
        <f t="shared" si="7"/>
        <v>45486</v>
      </c>
      <c r="AR42" s="150"/>
      <c r="AS42" s="21">
        <f t="shared" si="2"/>
        <v>45486</v>
      </c>
      <c r="AT42" s="21">
        <f t="shared" si="3"/>
        <v>45486</v>
      </c>
      <c r="AU42" s="21">
        <f t="shared" si="4"/>
        <v>0</v>
      </c>
    </row>
    <row r="43" spans="1:47" ht="26.25" x14ac:dyDescent="0.25">
      <c r="A43" s="4" t="s">
        <v>109</v>
      </c>
      <c r="B43" s="4" t="s">
        <v>88</v>
      </c>
      <c r="C43" s="5" t="s">
        <v>86</v>
      </c>
      <c r="D43" s="151"/>
      <c r="E43" s="153"/>
      <c r="F43" s="151"/>
      <c r="G43" s="153"/>
      <c r="H43" s="151"/>
      <c r="I43" s="153"/>
      <c r="J43" s="151"/>
      <c r="K43" s="153"/>
      <c r="L43" s="151"/>
      <c r="M43" s="153"/>
      <c r="N43" s="151"/>
      <c r="O43" s="153"/>
      <c r="P43" s="151"/>
      <c r="Q43" s="153"/>
      <c r="R43" s="151"/>
      <c r="S43" s="153"/>
      <c r="T43" s="151">
        <v>2522</v>
      </c>
      <c r="U43" s="153">
        <v>2522</v>
      </c>
      <c r="V43" s="151"/>
      <c r="W43" s="153"/>
      <c r="X43" s="151"/>
      <c r="Y43" s="153"/>
      <c r="Z43" s="61">
        <f t="shared" si="6"/>
        <v>2522</v>
      </c>
      <c r="AA43" s="75">
        <f t="shared" si="6"/>
        <v>2522</v>
      </c>
      <c r="AB43" s="151"/>
      <c r="AC43" s="153"/>
      <c r="AD43" s="151"/>
      <c r="AE43" s="153"/>
      <c r="AF43" s="151"/>
      <c r="AG43" s="153"/>
      <c r="AH43" s="151"/>
      <c r="AI43" s="153"/>
      <c r="AJ43" s="151"/>
      <c r="AK43" s="153"/>
      <c r="AL43" s="151"/>
      <c r="AM43" s="153"/>
      <c r="AN43" s="151"/>
      <c r="AO43" s="153"/>
      <c r="AP43" s="61">
        <f t="shared" si="7"/>
        <v>2522</v>
      </c>
      <c r="AQ43" s="75">
        <f t="shared" si="7"/>
        <v>2522</v>
      </c>
      <c r="AR43" s="150" t="s">
        <v>80</v>
      </c>
      <c r="AS43" s="21">
        <f t="shared" si="2"/>
        <v>0</v>
      </c>
      <c r="AT43" s="21">
        <f t="shared" si="3"/>
        <v>0</v>
      </c>
      <c r="AU43" s="21">
        <f t="shared" si="4"/>
        <v>0</v>
      </c>
    </row>
    <row r="44" spans="1:47" ht="26.25" x14ac:dyDescent="0.25">
      <c r="A44" s="4" t="s">
        <v>109</v>
      </c>
      <c r="B44" s="4" t="s">
        <v>87</v>
      </c>
      <c r="C44" s="5" t="s">
        <v>86</v>
      </c>
      <c r="D44" s="151">
        <v>1320</v>
      </c>
      <c r="E44" s="153">
        <v>5092</v>
      </c>
      <c r="F44" s="151"/>
      <c r="G44" s="153"/>
      <c r="H44" s="151"/>
      <c r="I44" s="153"/>
      <c r="J44" s="151"/>
      <c r="K44" s="153"/>
      <c r="L44" s="151"/>
      <c r="M44" s="153"/>
      <c r="N44" s="151"/>
      <c r="O44" s="153"/>
      <c r="P44" s="151"/>
      <c r="Q44" s="153"/>
      <c r="R44" s="151"/>
      <c r="S44" s="153"/>
      <c r="T44" s="151"/>
      <c r="U44" s="153"/>
      <c r="V44" s="151"/>
      <c r="W44" s="153"/>
      <c r="X44" s="151"/>
      <c r="Y44" s="153"/>
      <c r="Z44" s="61">
        <f t="shared" si="6"/>
        <v>1320</v>
      </c>
      <c r="AA44" s="75">
        <f t="shared" si="6"/>
        <v>5092</v>
      </c>
      <c r="AB44" s="151"/>
      <c r="AC44" s="153"/>
      <c r="AD44" s="151"/>
      <c r="AE44" s="153"/>
      <c r="AF44" s="151"/>
      <c r="AG44" s="153"/>
      <c r="AH44" s="151"/>
      <c r="AI44" s="153"/>
      <c r="AJ44" s="151"/>
      <c r="AK44" s="153"/>
      <c r="AL44" s="151"/>
      <c r="AM44" s="153"/>
      <c r="AN44" s="151"/>
      <c r="AO44" s="153"/>
      <c r="AP44" s="61">
        <f t="shared" si="7"/>
        <v>1320</v>
      </c>
      <c r="AQ44" s="75">
        <f t="shared" si="7"/>
        <v>5092</v>
      </c>
      <c r="AR44" s="150" t="s">
        <v>80</v>
      </c>
      <c r="AS44" s="21">
        <f t="shared" si="2"/>
        <v>3772</v>
      </c>
      <c r="AT44" s="21">
        <f t="shared" si="3"/>
        <v>3772</v>
      </c>
      <c r="AU44" s="21">
        <f t="shared" si="4"/>
        <v>0</v>
      </c>
    </row>
    <row r="45" spans="1:47" x14ac:dyDescent="0.25">
      <c r="A45" s="4" t="s">
        <v>109</v>
      </c>
      <c r="B45" s="4" t="s">
        <v>90</v>
      </c>
      <c r="C45" s="5" t="s">
        <v>86</v>
      </c>
      <c r="D45" s="151"/>
      <c r="E45" s="153"/>
      <c r="F45" s="151"/>
      <c r="G45" s="153"/>
      <c r="H45" s="151"/>
      <c r="I45" s="153"/>
      <c r="J45" s="151"/>
      <c r="K45" s="153"/>
      <c r="L45" s="151"/>
      <c r="M45" s="153"/>
      <c r="N45" s="151"/>
      <c r="O45" s="153"/>
      <c r="P45" s="151"/>
      <c r="Q45" s="153"/>
      <c r="R45" s="151"/>
      <c r="S45" s="153"/>
      <c r="T45" s="151">
        <v>2500</v>
      </c>
      <c r="U45" s="153">
        <v>2500</v>
      </c>
      <c r="V45" s="151"/>
      <c r="W45" s="153"/>
      <c r="X45" s="151"/>
      <c r="Y45" s="153"/>
      <c r="Z45" s="61">
        <f t="shared" si="6"/>
        <v>2500</v>
      </c>
      <c r="AA45" s="75">
        <f t="shared" si="6"/>
        <v>2500</v>
      </c>
      <c r="AB45" s="151"/>
      <c r="AC45" s="153"/>
      <c r="AD45" s="151"/>
      <c r="AE45" s="153"/>
      <c r="AF45" s="151"/>
      <c r="AG45" s="153"/>
      <c r="AH45" s="151"/>
      <c r="AI45" s="153"/>
      <c r="AJ45" s="151"/>
      <c r="AK45" s="153"/>
      <c r="AL45" s="151"/>
      <c r="AM45" s="153"/>
      <c r="AN45" s="151"/>
      <c r="AO45" s="153"/>
      <c r="AP45" s="61">
        <f t="shared" si="7"/>
        <v>2500</v>
      </c>
      <c r="AQ45" s="75">
        <f t="shared" si="7"/>
        <v>2500</v>
      </c>
      <c r="AR45" s="150" t="s">
        <v>80</v>
      </c>
      <c r="AS45" s="21">
        <f t="shared" si="2"/>
        <v>0</v>
      </c>
      <c r="AT45" s="21">
        <f t="shared" si="3"/>
        <v>0</v>
      </c>
      <c r="AU45" s="21">
        <f t="shared" si="4"/>
        <v>0</v>
      </c>
    </row>
    <row r="46" spans="1:47" x14ac:dyDescent="0.25">
      <c r="A46" s="4" t="s">
        <v>109</v>
      </c>
      <c r="B46" s="4" t="s">
        <v>117</v>
      </c>
      <c r="C46" s="5" t="s">
        <v>82</v>
      </c>
      <c r="D46" s="151">
        <v>33877</v>
      </c>
      <c r="E46" s="153">
        <v>40918</v>
      </c>
      <c r="F46" s="151">
        <v>480</v>
      </c>
      <c r="G46" s="153">
        <v>480</v>
      </c>
      <c r="H46" s="151">
        <v>3700</v>
      </c>
      <c r="I46" s="153">
        <v>3300</v>
      </c>
      <c r="J46" s="151">
        <v>900</v>
      </c>
      <c r="K46" s="153">
        <v>900</v>
      </c>
      <c r="L46" s="151">
        <v>2800</v>
      </c>
      <c r="M46" s="153">
        <v>2600</v>
      </c>
      <c r="N46" s="151">
        <v>350</v>
      </c>
      <c r="O46" s="153">
        <v>340</v>
      </c>
      <c r="P46" s="151"/>
      <c r="Q46" s="153"/>
      <c r="R46" s="151">
        <v>100</v>
      </c>
      <c r="S46" s="153">
        <v>80</v>
      </c>
      <c r="T46" s="151">
        <v>9567</v>
      </c>
      <c r="U46" s="153">
        <v>9258</v>
      </c>
      <c r="V46" s="151"/>
      <c r="W46" s="153"/>
      <c r="X46" s="151"/>
      <c r="Y46" s="153"/>
      <c r="Z46" s="61">
        <f t="shared" si="6"/>
        <v>51774</v>
      </c>
      <c r="AA46" s="75">
        <f t="shared" si="6"/>
        <v>57876</v>
      </c>
      <c r="AB46" s="151">
        <v>50</v>
      </c>
      <c r="AC46" s="153"/>
      <c r="AD46" s="151">
        <v>1350</v>
      </c>
      <c r="AE46" s="153">
        <v>1200</v>
      </c>
      <c r="AF46" s="151">
        <v>2150</v>
      </c>
      <c r="AG46" s="153">
        <v>2050</v>
      </c>
      <c r="AH46" s="151"/>
      <c r="AI46" s="153"/>
      <c r="AJ46" s="151"/>
      <c r="AK46" s="153"/>
      <c r="AL46" s="151"/>
      <c r="AM46" s="153"/>
      <c r="AN46" s="151"/>
      <c r="AO46" s="153"/>
      <c r="AP46" s="61">
        <f t="shared" si="7"/>
        <v>55324</v>
      </c>
      <c r="AQ46" s="75">
        <f t="shared" si="7"/>
        <v>61126</v>
      </c>
      <c r="AR46" s="150" t="s">
        <v>80</v>
      </c>
      <c r="AS46" s="21">
        <f t="shared" si="2"/>
        <v>5802</v>
      </c>
      <c r="AT46" s="21">
        <f t="shared" si="3"/>
        <v>7041</v>
      </c>
      <c r="AU46" s="21">
        <f t="shared" si="4"/>
        <v>-1239</v>
      </c>
    </row>
    <row r="47" spans="1:47" ht="26.25" x14ac:dyDescent="0.25">
      <c r="A47" s="4" t="s">
        <v>109</v>
      </c>
      <c r="B47" s="4" t="s">
        <v>83</v>
      </c>
      <c r="C47" s="5" t="s">
        <v>82</v>
      </c>
      <c r="D47" s="151">
        <v>27593</v>
      </c>
      <c r="E47" s="153">
        <v>29859</v>
      </c>
      <c r="F47" s="151"/>
      <c r="G47" s="153"/>
      <c r="H47" s="151"/>
      <c r="I47" s="153"/>
      <c r="J47" s="151"/>
      <c r="K47" s="153"/>
      <c r="L47" s="151"/>
      <c r="M47" s="153"/>
      <c r="N47" s="151"/>
      <c r="O47" s="153"/>
      <c r="P47" s="151"/>
      <c r="Q47" s="153"/>
      <c r="R47" s="151"/>
      <c r="S47" s="153"/>
      <c r="T47" s="151"/>
      <c r="U47" s="153"/>
      <c r="V47" s="151"/>
      <c r="W47" s="153"/>
      <c r="X47" s="151"/>
      <c r="Y47" s="153"/>
      <c r="Z47" s="61">
        <f t="shared" si="6"/>
        <v>27593</v>
      </c>
      <c r="AA47" s="75">
        <f t="shared" si="6"/>
        <v>29859</v>
      </c>
      <c r="AB47" s="151"/>
      <c r="AC47" s="153"/>
      <c r="AD47" s="151"/>
      <c r="AE47" s="153"/>
      <c r="AF47" s="151"/>
      <c r="AG47" s="153"/>
      <c r="AH47" s="151"/>
      <c r="AI47" s="153"/>
      <c r="AJ47" s="151"/>
      <c r="AK47" s="153"/>
      <c r="AL47" s="151"/>
      <c r="AM47" s="153"/>
      <c r="AN47" s="151"/>
      <c r="AO47" s="153"/>
      <c r="AP47" s="61">
        <f t="shared" si="7"/>
        <v>27593</v>
      </c>
      <c r="AQ47" s="75">
        <f t="shared" si="7"/>
        <v>29859</v>
      </c>
      <c r="AR47" s="150" t="s">
        <v>80</v>
      </c>
      <c r="AS47" s="21">
        <f t="shared" si="2"/>
        <v>2266</v>
      </c>
      <c r="AT47" s="21">
        <f t="shared" si="3"/>
        <v>2266</v>
      </c>
      <c r="AU47" s="21">
        <f t="shared" si="4"/>
        <v>0</v>
      </c>
    </row>
    <row r="48" spans="1:47" ht="30" x14ac:dyDescent="0.25">
      <c r="A48" s="4" t="s">
        <v>109</v>
      </c>
      <c r="B48" s="4" t="s">
        <v>118</v>
      </c>
      <c r="C48" s="5" t="s">
        <v>119</v>
      </c>
      <c r="D48" s="151">
        <v>149221</v>
      </c>
      <c r="E48" s="153">
        <v>181751</v>
      </c>
      <c r="F48" s="151">
        <v>650</v>
      </c>
      <c r="G48" s="153">
        <v>660</v>
      </c>
      <c r="H48" s="151">
        <v>7800</v>
      </c>
      <c r="I48" s="153">
        <v>5000</v>
      </c>
      <c r="J48" s="151">
        <v>3100</v>
      </c>
      <c r="K48" s="153">
        <v>3100</v>
      </c>
      <c r="L48" s="151">
        <v>9000</v>
      </c>
      <c r="M48" s="153">
        <v>9500</v>
      </c>
      <c r="N48" s="151">
        <v>1512</v>
      </c>
      <c r="O48" s="153">
        <v>1512</v>
      </c>
      <c r="P48" s="151"/>
      <c r="Q48" s="153"/>
      <c r="R48" s="151">
        <v>700</v>
      </c>
      <c r="S48" s="153">
        <v>700</v>
      </c>
      <c r="T48" s="151">
        <v>38348</v>
      </c>
      <c r="U48" s="153">
        <v>39660</v>
      </c>
      <c r="V48" s="151"/>
      <c r="W48" s="153"/>
      <c r="X48" s="151"/>
      <c r="Y48" s="153"/>
      <c r="Z48" s="61">
        <f t="shared" si="6"/>
        <v>210331</v>
      </c>
      <c r="AA48" s="75">
        <f t="shared" si="6"/>
        <v>241883</v>
      </c>
      <c r="AB48" s="151">
        <v>150</v>
      </c>
      <c r="AC48" s="153"/>
      <c r="AD48" s="151">
        <v>4980</v>
      </c>
      <c r="AE48" s="153">
        <v>5420</v>
      </c>
      <c r="AF48" s="151">
        <v>17400</v>
      </c>
      <c r="AG48" s="153">
        <v>18200</v>
      </c>
      <c r="AH48" s="151"/>
      <c r="AI48" s="153"/>
      <c r="AJ48" s="151"/>
      <c r="AK48" s="153"/>
      <c r="AL48" s="151"/>
      <c r="AM48" s="153"/>
      <c r="AN48" s="151"/>
      <c r="AO48" s="153"/>
      <c r="AP48" s="61">
        <f t="shared" si="7"/>
        <v>232861</v>
      </c>
      <c r="AQ48" s="75">
        <f t="shared" si="7"/>
        <v>265503</v>
      </c>
      <c r="AR48" s="150" t="s">
        <v>102</v>
      </c>
      <c r="AS48" s="21">
        <f t="shared" si="2"/>
        <v>32642</v>
      </c>
      <c r="AT48" s="21">
        <f t="shared" si="3"/>
        <v>32530</v>
      </c>
      <c r="AU48" s="21">
        <f t="shared" si="4"/>
        <v>112</v>
      </c>
    </row>
    <row r="49" spans="1:47" ht="39" x14ac:dyDescent="0.25">
      <c r="A49" s="4" t="s">
        <v>109</v>
      </c>
      <c r="B49" s="4" t="s">
        <v>120</v>
      </c>
      <c r="C49" s="5" t="s">
        <v>119</v>
      </c>
      <c r="D49" s="151">
        <v>9393</v>
      </c>
      <c r="E49" s="153">
        <v>9393</v>
      </c>
      <c r="F49" s="151"/>
      <c r="G49" s="153"/>
      <c r="H49" s="151"/>
      <c r="I49" s="153"/>
      <c r="J49" s="151"/>
      <c r="K49" s="153"/>
      <c r="L49" s="151"/>
      <c r="M49" s="153"/>
      <c r="N49" s="151"/>
      <c r="O49" s="153"/>
      <c r="P49" s="151"/>
      <c r="Q49" s="153"/>
      <c r="R49" s="151"/>
      <c r="S49" s="153"/>
      <c r="T49" s="151"/>
      <c r="U49" s="153"/>
      <c r="V49" s="151"/>
      <c r="W49" s="153"/>
      <c r="X49" s="151"/>
      <c r="Y49" s="153"/>
      <c r="Z49" s="61">
        <f t="shared" si="6"/>
        <v>9393</v>
      </c>
      <c r="AA49" s="75">
        <f t="shared" si="6"/>
        <v>9393</v>
      </c>
      <c r="AB49" s="151"/>
      <c r="AC49" s="153"/>
      <c r="AD49" s="151"/>
      <c r="AE49" s="153"/>
      <c r="AF49" s="151"/>
      <c r="AG49" s="153"/>
      <c r="AH49" s="151"/>
      <c r="AI49" s="153"/>
      <c r="AJ49" s="151"/>
      <c r="AK49" s="153"/>
      <c r="AL49" s="151"/>
      <c r="AM49" s="153"/>
      <c r="AN49" s="151"/>
      <c r="AO49" s="153"/>
      <c r="AP49" s="61">
        <f t="shared" si="7"/>
        <v>9393</v>
      </c>
      <c r="AQ49" s="75">
        <f t="shared" si="7"/>
        <v>9393</v>
      </c>
      <c r="AR49" s="150" t="s">
        <v>102</v>
      </c>
      <c r="AS49" s="21">
        <f t="shared" si="2"/>
        <v>0</v>
      </c>
      <c r="AT49" s="21">
        <f t="shared" si="3"/>
        <v>0</v>
      </c>
      <c r="AU49" s="21">
        <f t="shared" si="4"/>
        <v>0</v>
      </c>
    </row>
    <row r="50" spans="1:47" ht="30" x14ac:dyDescent="0.25">
      <c r="A50" s="4" t="s">
        <v>109</v>
      </c>
      <c r="B50" s="4" t="s">
        <v>121</v>
      </c>
      <c r="C50" s="5" t="s">
        <v>119</v>
      </c>
      <c r="D50" s="151">
        <v>4580</v>
      </c>
      <c r="E50" s="153">
        <v>4580</v>
      </c>
      <c r="F50" s="151"/>
      <c r="G50" s="153"/>
      <c r="H50" s="151"/>
      <c r="I50" s="153"/>
      <c r="J50" s="151"/>
      <c r="K50" s="153"/>
      <c r="L50" s="151"/>
      <c r="M50" s="153"/>
      <c r="N50" s="151"/>
      <c r="O50" s="153"/>
      <c r="P50" s="151"/>
      <c r="Q50" s="153"/>
      <c r="R50" s="151"/>
      <c r="S50" s="153"/>
      <c r="T50" s="151"/>
      <c r="U50" s="153"/>
      <c r="V50" s="151"/>
      <c r="W50" s="153"/>
      <c r="X50" s="151"/>
      <c r="Y50" s="153"/>
      <c r="Z50" s="61">
        <f t="shared" si="6"/>
        <v>4580</v>
      </c>
      <c r="AA50" s="75">
        <f t="shared" si="6"/>
        <v>4580</v>
      </c>
      <c r="AB50" s="151"/>
      <c r="AC50" s="153"/>
      <c r="AD50" s="151"/>
      <c r="AE50" s="153"/>
      <c r="AF50" s="151"/>
      <c r="AG50" s="153"/>
      <c r="AH50" s="151"/>
      <c r="AI50" s="153"/>
      <c r="AJ50" s="151"/>
      <c r="AK50" s="153"/>
      <c r="AL50" s="151"/>
      <c r="AM50" s="153"/>
      <c r="AN50" s="151"/>
      <c r="AO50" s="153"/>
      <c r="AP50" s="61">
        <f t="shared" si="7"/>
        <v>4580</v>
      </c>
      <c r="AQ50" s="75">
        <f t="shared" si="7"/>
        <v>4580</v>
      </c>
      <c r="AR50" s="150" t="s">
        <v>102</v>
      </c>
      <c r="AS50" s="21">
        <f t="shared" si="2"/>
        <v>0</v>
      </c>
      <c r="AT50" s="21">
        <f t="shared" si="3"/>
        <v>0</v>
      </c>
      <c r="AU50" s="21">
        <f t="shared" si="4"/>
        <v>0</v>
      </c>
    </row>
    <row r="51" spans="1:47" ht="30" x14ac:dyDescent="0.25">
      <c r="A51" s="4" t="s">
        <v>109</v>
      </c>
      <c r="B51" s="4" t="s">
        <v>122</v>
      </c>
      <c r="C51" s="5" t="s">
        <v>119</v>
      </c>
      <c r="D51" s="151"/>
      <c r="E51" s="153"/>
      <c r="F51" s="151"/>
      <c r="G51" s="153"/>
      <c r="H51" s="151"/>
      <c r="I51" s="153"/>
      <c r="J51" s="151"/>
      <c r="K51" s="153"/>
      <c r="L51" s="151"/>
      <c r="M51" s="153"/>
      <c r="N51" s="151"/>
      <c r="O51" s="153"/>
      <c r="P51" s="151"/>
      <c r="Q51" s="153"/>
      <c r="R51" s="151"/>
      <c r="S51" s="153"/>
      <c r="T51" s="151"/>
      <c r="U51" s="153"/>
      <c r="V51" s="151"/>
      <c r="W51" s="153"/>
      <c r="X51" s="151"/>
      <c r="Y51" s="153"/>
      <c r="Z51" s="61">
        <f t="shared" si="6"/>
        <v>0</v>
      </c>
      <c r="AA51" s="75">
        <f t="shared" si="6"/>
        <v>0</v>
      </c>
      <c r="AB51" s="151"/>
      <c r="AC51" s="153"/>
      <c r="AD51" s="151">
        <v>2300</v>
      </c>
      <c r="AE51" s="153"/>
      <c r="AF51" s="151"/>
      <c r="AG51" s="153"/>
      <c r="AH51" s="151"/>
      <c r="AI51" s="153"/>
      <c r="AJ51" s="151"/>
      <c r="AK51" s="153"/>
      <c r="AL51" s="151"/>
      <c r="AM51" s="153"/>
      <c r="AN51" s="151"/>
      <c r="AO51" s="153"/>
      <c r="AP51" s="61">
        <f t="shared" si="7"/>
        <v>2300</v>
      </c>
      <c r="AQ51" s="75">
        <f t="shared" si="7"/>
        <v>0</v>
      </c>
      <c r="AR51" s="150" t="s">
        <v>102</v>
      </c>
      <c r="AS51" s="21">
        <f t="shared" si="2"/>
        <v>-2300</v>
      </c>
      <c r="AT51" s="21">
        <f t="shared" si="3"/>
        <v>0</v>
      </c>
      <c r="AU51" s="21">
        <f t="shared" si="4"/>
        <v>-2300</v>
      </c>
    </row>
    <row r="52" spans="1:47" x14ac:dyDescent="0.25">
      <c r="A52" s="4" t="s">
        <v>109</v>
      </c>
      <c r="B52" s="4" t="s">
        <v>69</v>
      </c>
      <c r="C52" s="5" t="s">
        <v>70</v>
      </c>
      <c r="D52" s="151">
        <v>6716</v>
      </c>
      <c r="E52" s="153">
        <v>7267</v>
      </c>
      <c r="F52" s="151"/>
      <c r="G52" s="153"/>
      <c r="H52" s="151"/>
      <c r="I52" s="153"/>
      <c r="J52" s="151"/>
      <c r="K52" s="153"/>
      <c r="L52" s="151"/>
      <c r="M52" s="153"/>
      <c r="N52" s="151"/>
      <c r="O52" s="153"/>
      <c r="P52" s="151"/>
      <c r="Q52" s="153"/>
      <c r="R52" s="151">
        <v>100</v>
      </c>
      <c r="S52" s="153">
        <v>100</v>
      </c>
      <c r="T52" s="151"/>
      <c r="U52" s="153"/>
      <c r="V52" s="151"/>
      <c r="W52" s="153"/>
      <c r="X52" s="151"/>
      <c r="Y52" s="153"/>
      <c r="Z52" s="61">
        <f t="shared" si="6"/>
        <v>6816</v>
      </c>
      <c r="AA52" s="75">
        <f t="shared" si="6"/>
        <v>7367</v>
      </c>
      <c r="AB52" s="151"/>
      <c r="AC52" s="153"/>
      <c r="AD52" s="151">
        <v>200</v>
      </c>
      <c r="AE52" s="153">
        <v>200</v>
      </c>
      <c r="AF52" s="151">
        <v>1900</v>
      </c>
      <c r="AG52" s="153">
        <v>1800</v>
      </c>
      <c r="AH52" s="151"/>
      <c r="AI52" s="153"/>
      <c r="AJ52" s="151"/>
      <c r="AK52" s="153"/>
      <c r="AL52" s="151"/>
      <c r="AM52" s="153"/>
      <c r="AN52" s="151"/>
      <c r="AO52" s="153"/>
      <c r="AP52" s="61">
        <f t="shared" si="7"/>
        <v>8916</v>
      </c>
      <c r="AQ52" s="75">
        <f t="shared" si="7"/>
        <v>9367</v>
      </c>
      <c r="AR52" s="150" t="s">
        <v>71</v>
      </c>
      <c r="AS52" s="21">
        <f t="shared" si="2"/>
        <v>451</v>
      </c>
      <c r="AT52" s="21">
        <f t="shared" si="3"/>
        <v>551</v>
      </c>
      <c r="AU52" s="21">
        <f t="shared" si="4"/>
        <v>-100</v>
      </c>
    </row>
    <row r="53" spans="1:47" x14ac:dyDescent="0.25">
      <c r="A53" s="4" t="s">
        <v>109</v>
      </c>
      <c r="B53" s="4" t="s">
        <v>97</v>
      </c>
      <c r="C53" s="5" t="s">
        <v>96</v>
      </c>
      <c r="D53" s="151"/>
      <c r="E53" s="153"/>
      <c r="F53" s="151"/>
      <c r="G53" s="153"/>
      <c r="H53" s="151"/>
      <c r="I53" s="153"/>
      <c r="J53" s="151"/>
      <c r="K53" s="153"/>
      <c r="L53" s="151"/>
      <c r="M53" s="153"/>
      <c r="N53" s="151"/>
      <c r="O53" s="153"/>
      <c r="P53" s="151"/>
      <c r="Q53" s="153"/>
      <c r="R53" s="151"/>
      <c r="S53" s="153"/>
      <c r="T53" s="151"/>
      <c r="U53" s="153"/>
      <c r="V53" s="151">
        <f>6200</f>
        <v>6200</v>
      </c>
      <c r="W53" s="153">
        <v>5900</v>
      </c>
      <c r="X53" s="151"/>
      <c r="Y53" s="153"/>
      <c r="Z53" s="61">
        <f t="shared" si="6"/>
        <v>6200</v>
      </c>
      <c r="AA53" s="75">
        <f t="shared" si="6"/>
        <v>5900</v>
      </c>
      <c r="AB53" s="151"/>
      <c r="AC53" s="153"/>
      <c r="AD53" s="151"/>
      <c r="AE53" s="153"/>
      <c r="AF53" s="151"/>
      <c r="AG53" s="153"/>
      <c r="AH53" s="151"/>
      <c r="AI53" s="153"/>
      <c r="AJ53" s="151"/>
      <c r="AK53" s="153"/>
      <c r="AL53" s="151"/>
      <c r="AM53" s="153"/>
      <c r="AN53" s="151"/>
      <c r="AO53" s="153"/>
      <c r="AP53" s="61">
        <f t="shared" si="7"/>
        <v>6200</v>
      </c>
      <c r="AQ53" s="75">
        <f t="shared" si="7"/>
        <v>5900</v>
      </c>
      <c r="AR53" s="150" t="s">
        <v>80</v>
      </c>
      <c r="AS53" s="21">
        <f t="shared" si="2"/>
        <v>-300</v>
      </c>
      <c r="AT53" s="21">
        <f t="shared" si="3"/>
        <v>0</v>
      </c>
      <c r="AU53" s="21">
        <f t="shared" si="4"/>
        <v>-300</v>
      </c>
    </row>
    <row r="54" spans="1:47" ht="26.25" x14ac:dyDescent="0.25">
      <c r="A54" s="4" t="s">
        <v>109</v>
      </c>
      <c r="B54" s="4" t="s">
        <v>95</v>
      </c>
      <c r="C54" s="5" t="s">
        <v>96</v>
      </c>
      <c r="D54" s="151"/>
      <c r="E54" s="153"/>
      <c r="F54" s="151"/>
      <c r="G54" s="153"/>
      <c r="H54" s="151"/>
      <c r="I54" s="153"/>
      <c r="J54" s="151"/>
      <c r="K54" s="153"/>
      <c r="L54" s="151"/>
      <c r="M54" s="153"/>
      <c r="N54" s="151"/>
      <c r="O54" s="153"/>
      <c r="P54" s="151"/>
      <c r="Q54" s="153"/>
      <c r="R54" s="151"/>
      <c r="S54" s="153"/>
      <c r="T54" s="151"/>
      <c r="U54" s="153"/>
      <c r="V54" s="151">
        <v>8200</v>
      </c>
      <c r="W54" s="153">
        <v>7000</v>
      </c>
      <c r="X54" s="151"/>
      <c r="Y54" s="153"/>
      <c r="Z54" s="61">
        <f t="shared" si="6"/>
        <v>8200</v>
      </c>
      <c r="AA54" s="75">
        <f t="shared" si="6"/>
        <v>7000</v>
      </c>
      <c r="AB54" s="151"/>
      <c r="AC54" s="153"/>
      <c r="AD54" s="151"/>
      <c r="AE54" s="153"/>
      <c r="AF54" s="151"/>
      <c r="AG54" s="153"/>
      <c r="AH54" s="151"/>
      <c r="AI54" s="153"/>
      <c r="AJ54" s="151"/>
      <c r="AK54" s="153"/>
      <c r="AL54" s="151"/>
      <c r="AM54" s="153"/>
      <c r="AN54" s="151"/>
      <c r="AO54" s="153"/>
      <c r="AP54" s="61">
        <f t="shared" si="7"/>
        <v>8200</v>
      </c>
      <c r="AQ54" s="75">
        <f t="shared" si="7"/>
        <v>7000</v>
      </c>
      <c r="AR54" s="150" t="s">
        <v>80</v>
      </c>
      <c r="AS54" s="21">
        <f t="shared" si="2"/>
        <v>-1200</v>
      </c>
      <c r="AT54" s="21">
        <f t="shared" si="3"/>
        <v>0</v>
      </c>
      <c r="AU54" s="21">
        <f t="shared" si="4"/>
        <v>-1200</v>
      </c>
    </row>
    <row r="55" spans="1:47" ht="30" x14ac:dyDescent="0.25">
      <c r="A55" s="4" t="s">
        <v>109</v>
      </c>
      <c r="B55" s="4" t="s">
        <v>100</v>
      </c>
      <c r="C55" s="5" t="s">
        <v>101</v>
      </c>
      <c r="D55" s="151"/>
      <c r="E55" s="153"/>
      <c r="F55" s="151"/>
      <c r="G55" s="153"/>
      <c r="H55" s="151"/>
      <c r="I55" s="153"/>
      <c r="J55" s="151"/>
      <c r="K55" s="153"/>
      <c r="L55" s="151"/>
      <c r="M55" s="153"/>
      <c r="N55" s="151"/>
      <c r="O55" s="153"/>
      <c r="P55" s="151"/>
      <c r="Q55" s="153"/>
      <c r="R55" s="151"/>
      <c r="S55" s="153"/>
      <c r="T55" s="151"/>
      <c r="U55" s="153"/>
      <c r="V55" s="151"/>
      <c r="W55" s="153"/>
      <c r="X55" s="151"/>
      <c r="Y55" s="153"/>
      <c r="Z55" s="61">
        <f t="shared" si="6"/>
        <v>0</v>
      </c>
      <c r="AA55" s="75">
        <f t="shared" si="6"/>
        <v>0</v>
      </c>
      <c r="AB55" s="151"/>
      <c r="AC55" s="153"/>
      <c r="AD55" s="151"/>
      <c r="AE55" s="153"/>
      <c r="AF55" s="151"/>
      <c r="AG55" s="153"/>
      <c r="AH55" s="151"/>
      <c r="AI55" s="153"/>
      <c r="AJ55" s="151"/>
      <c r="AK55" s="153"/>
      <c r="AL55" s="151">
        <v>6636</v>
      </c>
      <c r="AM55" s="153">
        <v>6300</v>
      </c>
      <c r="AN55" s="151"/>
      <c r="AO55" s="153"/>
      <c r="AP55" s="61">
        <f t="shared" si="7"/>
        <v>6636</v>
      </c>
      <c r="AQ55" s="75">
        <f t="shared" si="7"/>
        <v>6300</v>
      </c>
      <c r="AR55" s="150" t="s">
        <v>102</v>
      </c>
      <c r="AS55" s="21">
        <f t="shared" si="2"/>
        <v>-336</v>
      </c>
      <c r="AT55" s="21">
        <f t="shared" si="3"/>
        <v>0</v>
      </c>
      <c r="AU55" s="21">
        <f t="shared" si="4"/>
        <v>-336</v>
      </c>
    </row>
    <row r="56" spans="1:47" x14ac:dyDescent="0.25">
      <c r="A56" s="4" t="s">
        <v>109</v>
      </c>
      <c r="B56" s="4" t="s">
        <v>105</v>
      </c>
      <c r="C56" s="5"/>
      <c r="D56" s="151">
        <v>9357</v>
      </c>
      <c r="E56" s="153">
        <v>11153</v>
      </c>
      <c r="F56" s="151"/>
      <c r="G56" s="153"/>
      <c r="H56" s="151"/>
      <c r="I56" s="153"/>
      <c r="J56" s="151"/>
      <c r="K56" s="153"/>
      <c r="L56" s="151"/>
      <c r="M56" s="153"/>
      <c r="N56" s="151"/>
      <c r="O56" s="153"/>
      <c r="P56" s="151"/>
      <c r="Q56" s="153"/>
      <c r="R56" s="151"/>
      <c r="S56" s="153"/>
      <c r="T56" s="151"/>
      <c r="U56" s="153"/>
      <c r="V56" s="151"/>
      <c r="W56" s="153"/>
      <c r="X56" s="151"/>
      <c r="Y56" s="153"/>
      <c r="Z56" s="61">
        <f t="shared" si="6"/>
        <v>9357</v>
      </c>
      <c r="AA56" s="75">
        <f t="shared" si="6"/>
        <v>11153</v>
      </c>
      <c r="AB56" s="151"/>
      <c r="AC56" s="153"/>
      <c r="AD56" s="151"/>
      <c r="AE56" s="153"/>
      <c r="AF56" s="151"/>
      <c r="AG56" s="153"/>
      <c r="AH56" s="151"/>
      <c r="AI56" s="153"/>
      <c r="AJ56" s="151"/>
      <c r="AK56" s="153"/>
      <c r="AL56" s="151"/>
      <c r="AM56" s="153"/>
      <c r="AN56" s="151"/>
      <c r="AO56" s="153"/>
      <c r="AP56" s="61">
        <f t="shared" si="7"/>
        <v>9357</v>
      </c>
      <c r="AQ56" s="75">
        <f t="shared" si="7"/>
        <v>11153</v>
      </c>
      <c r="AR56" s="150" t="s">
        <v>58</v>
      </c>
      <c r="AS56" s="21">
        <f t="shared" si="2"/>
        <v>1796</v>
      </c>
      <c r="AT56" s="21">
        <f t="shared" si="3"/>
        <v>1796</v>
      </c>
      <c r="AU56" s="21">
        <f t="shared" si="4"/>
        <v>0</v>
      </c>
    </row>
    <row r="57" spans="1:47" x14ac:dyDescent="0.25">
      <c r="A57" s="4" t="s">
        <v>109</v>
      </c>
      <c r="B57" s="4" t="s">
        <v>106</v>
      </c>
      <c r="C57" s="5"/>
      <c r="D57" s="151">
        <v>9190</v>
      </c>
      <c r="E57" s="153">
        <v>10533</v>
      </c>
      <c r="F57" s="151"/>
      <c r="G57" s="153"/>
      <c r="H57" s="151"/>
      <c r="I57" s="153"/>
      <c r="J57" s="151"/>
      <c r="K57" s="153"/>
      <c r="L57" s="151"/>
      <c r="M57" s="153"/>
      <c r="N57" s="151"/>
      <c r="O57" s="153"/>
      <c r="P57" s="151"/>
      <c r="Q57" s="153"/>
      <c r="R57" s="151"/>
      <c r="S57" s="153"/>
      <c r="T57" s="151"/>
      <c r="U57" s="153"/>
      <c r="V57" s="151"/>
      <c r="W57" s="153"/>
      <c r="X57" s="151"/>
      <c r="Y57" s="153"/>
      <c r="Z57" s="61">
        <f t="shared" si="6"/>
        <v>9190</v>
      </c>
      <c r="AA57" s="75">
        <f t="shared" si="6"/>
        <v>10533</v>
      </c>
      <c r="AB57" s="151"/>
      <c r="AC57" s="153"/>
      <c r="AD57" s="151"/>
      <c r="AE57" s="153"/>
      <c r="AF57" s="151"/>
      <c r="AG57" s="153"/>
      <c r="AH57" s="151"/>
      <c r="AI57" s="153"/>
      <c r="AJ57" s="151"/>
      <c r="AK57" s="153"/>
      <c r="AL57" s="151"/>
      <c r="AM57" s="153"/>
      <c r="AN57" s="151"/>
      <c r="AO57" s="153"/>
      <c r="AP57" s="61">
        <f t="shared" si="7"/>
        <v>9190</v>
      </c>
      <c r="AQ57" s="75">
        <f t="shared" si="7"/>
        <v>10533</v>
      </c>
      <c r="AR57" s="150" t="s">
        <v>58</v>
      </c>
      <c r="AS57" s="21">
        <f t="shared" si="2"/>
        <v>1343</v>
      </c>
      <c r="AT57" s="21">
        <f t="shared" si="3"/>
        <v>1343</v>
      </c>
      <c r="AU57" s="21">
        <f t="shared" si="4"/>
        <v>0</v>
      </c>
    </row>
    <row r="58" spans="1:47" x14ac:dyDescent="0.25">
      <c r="A58" s="16" t="s">
        <v>123</v>
      </c>
      <c r="B58" s="16" t="s">
        <v>108</v>
      </c>
      <c r="C58" s="17"/>
      <c r="D58" s="18">
        <f t="shared" ref="D58:AQ58" si="8">SUM(D32:D57)</f>
        <v>486818</v>
      </c>
      <c r="E58" s="105">
        <f t="shared" si="8"/>
        <v>576176</v>
      </c>
      <c r="F58" s="18">
        <f t="shared" si="8"/>
        <v>3260</v>
      </c>
      <c r="G58" s="18">
        <f t="shared" si="8"/>
        <v>3250</v>
      </c>
      <c r="H58" s="18">
        <f t="shared" si="8"/>
        <v>61600</v>
      </c>
      <c r="I58" s="18">
        <f t="shared" si="8"/>
        <v>55660</v>
      </c>
      <c r="J58" s="18">
        <f t="shared" si="8"/>
        <v>9140</v>
      </c>
      <c r="K58" s="18">
        <f t="shared" si="8"/>
        <v>8940</v>
      </c>
      <c r="L58" s="18">
        <f t="shared" si="8"/>
        <v>22220</v>
      </c>
      <c r="M58" s="18">
        <f t="shared" si="8"/>
        <v>22330</v>
      </c>
      <c r="N58" s="18">
        <f t="shared" si="8"/>
        <v>7372</v>
      </c>
      <c r="O58" s="18">
        <f t="shared" si="8"/>
        <v>7242</v>
      </c>
      <c r="P58" s="18">
        <f t="shared" si="8"/>
        <v>0</v>
      </c>
      <c r="Q58" s="18">
        <f t="shared" si="8"/>
        <v>0</v>
      </c>
      <c r="R58" s="18">
        <f t="shared" si="8"/>
        <v>8160</v>
      </c>
      <c r="S58" s="18">
        <f t="shared" si="8"/>
        <v>7460</v>
      </c>
      <c r="T58" s="18">
        <f t="shared" si="8"/>
        <v>56618</v>
      </c>
      <c r="U58" s="18">
        <f t="shared" si="8"/>
        <v>57621</v>
      </c>
      <c r="V58" s="18">
        <f t="shared" si="8"/>
        <v>14400</v>
      </c>
      <c r="W58" s="18">
        <f t="shared" si="8"/>
        <v>12900</v>
      </c>
      <c r="X58" s="18">
        <f t="shared" si="8"/>
        <v>0</v>
      </c>
      <c r="Y58" s="18">
        <f t="shared" si="8"/>
        <v>0</v>
      </c>
      <c r="Z58" s="18">
        <f t="shared" si="8"/>
        <v>669588</v>
      </c>
      <c r="AA58" s="18">
        <f t="shared" si="8"/>
        <v>751579</v>
      </c>
      <c r="AB58" s="18">
        <f t="shared" si="8"/>
        <v>530</v>
      </c>
      <c r="AC58" s="18">
        <f t="shared" si="8"/>
        <v>270</v>
      </c>
      <c r="AD58" s="18">
        <f t="shared" si="8"/>
        <v>36050</v>
      </c>
      <c r="AE58" s="18">
        <f t="shared" si="8"/>
        <v>32420</v>
      </c>
      <c r="AF58" s="18">
        <f t="shared" si="8"/>
        <v>44480</v>
      </c>
      <c r="AG58" s="18">
        <f t="shared" si="8"/>
        <v>43940</v>
      </c>
      <c r="AH58" s="18">
        <f t="shared" si="8"/>
        <v>2850</v>
      </c>
      <c r="AI58" s="18">
        <f t="shared" si="8"/>
        <v>2416</v>
      </c>
      <c r="AJ58" s="18">
        <f t="shared" si="8"/>
        <v>0</v>
      </c>
      <c r="AK58" s="18">
        <f t="shared" si="8"/>
        <v>0</v>
      </c>
      <c r="AL58" s="18">
        <f t="shared" si="8"/>
        <v>6636</v>
      </c>
      <c r="AM58" s="18">
        <f t="shared" si="8"/>
        <v>6300</v>
      </c>
      <c r="AN58" s="18">
        <f t="shared" si="8"/>
        <v>0</v>
      </c>
      <c r="AO58" s="18">
        <f t="shared" si="8"/>
        <v>0</v>
      </c>
      <c r="AP58" s="18">
        <f t="shared" si="8"/>
        <v>760134</v>
      </c>
      <c r="AQ58" s="18">
        <f t="shared" si="8"/>
        <v>836925</v>
      </c>
      <c r="AR58" s="150"/>
      <c r="AS58" s="156">
        <f t="shared" si="2"/>
        <v>76791</v>
      </c>
      <c r="AT58" s="156">
        <f t="shared" si="3"/>
        <v>89358</v>
      </c>
      <c r="AU58" s="156">
        <f t="shared" si="4"/>
        <v>-12567</v>
      </c>
    </row>
    <row r="59" spans="1:47" x14ac:dyDescent="0.25">
      <c r="A59" s="4" t="s">
        <v>124</v>
      </c>
      <c r="B59" s="4" t="s">
        <v>125</v>
      </c>
      <c r="C59" s="5" t="s">
        <v>57</v>
      </c>
      <c r="D59" s="43">
        <v>50508</v>
      </c>
      <c r="E59" s="97">
        <v>48586</v>
      </c>
      <c r="F59" s="43">
        <f>400+120</f>
        <v>520</v>
      </c>
      <c r="G59" s="97">
        <v>520</v>
      </c>
      <c r="H59" s="43">
        <f>2500+181</f>
        <v>2681</v>
      </c>
      <c r="I59" s="97">
        <v>2681</v>
      </c>
      <c r="J59" s="43">
        <f>630+30</f>
        <v>660</v>
      </c>
      <c r="K59" s="97">
        <v>660</v>
      </c>
      <c r="L59" s="43">
        <f>1700+40</f>
        <v>1740</v>
      </c>
      <c r="M59" s="97">
        <v>1740</v>
      </c>
      <c r="N59" s="43">
        <f>90+20</f>
        <v>110</v>
      </c>
      <c r="O59" s="97">
        <v>110</v>
      </c>
      <c r="P59" s="43"/>
      <c r="Q59" s="97"/>
      <c r="R59" s="43">
        <f>3000+70</f>
        <v>3070</v>
      </c>
      <c r="S59" s="97">
        <v>3070</v>
      </c>
      <c r="T59" s="43"/>
      <c r="U59" s="97"/>
      <c r="V59" s="43"/>
      <c r="W59" s="97"/>
      <c r="X59" s="43"/>
      <c r="Y59" s="97"/>
      <c r="Z59" s="61">
        <f t="shared" ref="Z59:AA77" si="9">D59+F59+H59+J59+L59+P59+R59+T59+V59+X59+N59</f>
        <v>59289</v>
      </c>
      <c r="AA59" s="75">
        <f t="shared" si="9"/>
        <v>57367</v>
      </c>
      <c r="AB59" s="43"/>
      <c r="AC59" s="97"/>
      <c r="AD59" s="43">
        <f>10642+279</f>
        <v>10921</v>
      </c>
      <c r="AE59" s="97">
        <v>7000</v>
      </c>
      <c r="AF59" s="43">
        <f>2348+88</f>
        <v>2436</v>
      </c>
      <c r="AG59" s="97">
        <v>4825</v>
      </c>
      <c r="AH59" s="43"/>
      <c r="AI59" s="97"/>
      <c r="AJ59" s="43"/>
      <c r="AK59" s="97"/>
      <c r="AL59" s="151"/>
      <c r="AM59" s="97"/>
      <c r="AN59" s="62"/>
      <c r="AO59" s="97">
        <v>2000</v>
      </c>
      <c r="AP59" s="61">
        <f t="shared" ref="AP59:AQ77" si="10">Z59+AB59+AD59+AF59+AH59+AJ59+AL59+AN59</f>
        <v>72646</v>
      </c>
      <c r="AQ59" s="75">
        <f t="shared" si="10"/>
        <v>71192</v>
      </c>
      <c r="AR59" s="150" t="s">
        <v>58</v>
      </c>
      <c r="AS59" s="21">
        <f t="shared" si="2"/>
        <v>-1454</v>
      </c>
      <c r="AT59" s="21">
        <f t="shared" si="3"/>
        <v>-1922</v>
      </c>
      <c r="AU59" s="21">
        <f t="shared" si="4"/>
        <v>468</v>
      </c>
    </row>
    <row r="60" spans="1:47" x14ac:dyDescent="0.25">
      <c r="A60" s="4" t="s">
        <v>124</v>
      </c>
      <c r="B60" s="4" t="s">
        <v>98</v>
      </c>
      <c r="C60" s="5" t="s">
        <v>99</v>
      </c>
      <c r="D60" s="43"/>
      <c r="E60" s="97"/>
      <c r="F60" s="43">
        <v>140</v>
      </c>
      <c r="G60" s="97">
        <v>140</v>
      </c>
      <c r="H60" s="43">
        <v>271</v>
      </c>
      <c r="I60" s="97">
        <v>271</v>
      </c>
      <c r="J60" s="43">
        <v>45</v>
      </c>
      <c r="K60" s="97">
        <v>45</v>
      </c>
      <c r="L60" s="43">
        <v>200</v>
      </c>
      <c r="M60" s="97">
        <v>200</v>
      </c>
      <c r="N60" s="43">
        <v>16</v>
      </c>
      <c r="O60" s="97">
        <v>16</v>
      </c>
      <c r="P60" s="43"/>
      <c r="Q60" s="97"/>
      <c r="R60" s="43">
        <v>128</v>
      </c>
      <c r="S60" s="97">
        <v>128</v>
      </c>
      <c r="T60" s="43"/>
      <c r="U60" s="97"/>
      <c r="V60" s="43"/>
      <c r="W60" s="97"/>
      <c r="X60" s="43"/>
      <c r="Y60" s="97"/>
      <c r="Z60" s="61">
        <f t="shared" si="9"/>
        <v>800</v>
      </c>
      <c r="AA60" s="75">
        <f t="shared" si="9"/>
        <v>800</v>
      </c>
      <c r="AB60" s="43"/>
      <c r="AC60" s="97"/>
      <c r="AD60" s="43">
        <v>84</v>
      </c>
      <c r="AE60" s="97">
        <v>30</v>
      </c>
      <c r="AF60" s="43">
        <v>161</v>
      </c>
      <c r="AG60" s="97">
        <v>30</v>
      </c>
      <c r="AH60" s="43"/>
      <c r="AI60" s="97"/>
      <c r="AJ60" s="43"/>
      <c r="AK60" s="97"/>
      <c r="AL60" s="151"/>
      <c r="AM60" s="97"/>
      <c r="AN60" s="151"/>
      <c r="AO60" s="153"/>
      <c r="AP60" s="61">
        <f t="shared" si="10"/>
        <v>1045</v>
      </c>
      <c r="AQ60" s="75">
        <f t="shared" si="10"/>
        <v>860</v>
      </c>
      <c r="AR60" s="150" t="s">
        <v>58</v>
      </c>
      <c r="AS60" s="21">
        <f t="shared" si="2"/>
        <v>-185</v>
      </c>
      <c r="AT60" s="21">
        <f t="shared" si="3"/>
        <v>0</v>
      </c>
      <c r="AU60" s="21">
        <f t="shared" si="4"/>
        <v>-185</v>
      </c>
    </row>
    <row r="61" spans="1:47" ht="26.25" x14ac:dyDescent="0.25">
      <c r="A61" s="4" t="s">
        <v>124</v>
      </c>
      <c r="B61" s="4" t="s">
        <v>65</v>
      </c>
      <c r="C61" s="5" t="s">
        <v>60</v>
      </c>
      <c r="D61" s="43">
        <v>81572</v>
      </c>
      <c r="E61" s="97">
        <v>98239</v>
      </c>
      <c r="F61" s="43"/>
      <c r="G61" s="97"/>
      <c r="H61" s="43">
        <v>8668</v>
      </c>
      <c r="I61" s="97">
        <v>8668</v>
      </c>
      <c r="J61" s="43"/>
      <c r="K61" s="97"/>
      <c r="L61" s="43">
        <v>1100</v>
      </c>
      <c r="M61" s="97">
        <v>1100</v>
      </c>
      <c r="N61" s="43">
        <v>3000</v>
      </c>
      <c r="O61" s="97">
        <v>3000</v>
      </c>
      <c r="P61" s="43"/>
      <c r="Q61" s="97"/>
      <c r="R61" s="43"/>
      <c r="S61" s="97"/>
      <c r="T61" s="43"/>
      <c r="U61" s="97"/>
      <c r="V61" s="43"/>
      <c r="W61" s="97"/>
      <c r="X61" s="43"/>
      <c r="Y61" s="97"/>
      <c r="Z61" s="61">
        <f t="shared" si="9"/>
        <v>94340</v>
      </c>
      <c r="AA61" s="75">
        <f t="shared" si="9"/>
        <v>111007</v>
      </c>
      <c r="AB61" s="43"/>
      <c r="AC61" s="97"/>
      <c r="AD61" s="43">
        <v>29950</v>
      </c>
      <c r="AE61" s="97">
        <v>24000</v>
      </c>
      <c r="AF61" s="43">
        <v>1000</v>
      </c>
      <c r="AG61" s="97">
        <v>1000</v>
      </c>
      <c r="AH61" s="43"/>
      <c r="AI61" s="97"/>
      <c r="AJ61" s="43"/>
      <c r="AK61" s="97"/>
      <c r="AL61" s="151"/>
      <c r="AM61" s="97"/>
      <c r="AN61" s="151"/>
      <c r="AO61" s="153"/>
      <c r="AP61" s="61">
        <f t="shared" si="10"/>
        <v>125290</v>
      </c>
      <c r="AQ61" s="75">
        <f t="shared" si="10"/>
        <v>136007</v>
      </c>
      <c r="AR61" s="150" t="s">
        <v>61</v>
      </c>
      <c r="AS61" s="21">
        <f t="shared" si="2"/>
        <v>10717</v>
      </c>
      <c r="AT61" s="21">
        <f t="shared" si="3"/>
        <v>16667</v>
      </c>
      <c r="AU61" s="21">
        <f t="shared" si="4"/>
        <v>-5950</v>
      </c>
    </row>
    <row r="62" spans="1:47" x14ac:dyDescent="0.25">
      <c r="A62" s="4" t="s">
        <v>124</v>
      </c>
      <c r="B62" s="4" t="s">
        <v>126</v>
      </c>
      <c r="C62" s="5" t="s">
        <v>73</v>
      </c>
      <c r="D62" s="43">
        <v>10692</v>
      </c>
      <c r="E62" s="97">
        <v>11583</v>
      </c>
      <c r="F62" s="43">
        <v>80</v>
      </c>
      <c r="G62" s="97">
        <v>80</v>
      </c>
      <c r="H62" s="43">
        <v>2373</v>
      </c>
      <c r="I62" s="97">
        <v>2373</v>
      </c>
      <c r="J62" s="43">
        <v>150</v>
      </c>
      <c r="K62" s="97">
        <v>150</v>
      </c>
      <c r="L62" s="43">
        <v>900</v>
      </c>
      <c r="M62" s="97">
        <v>900</v>
      </c>
      <c r="N62" s="43">
        <v>70</v>
      </c>
      <c r="O62" s="97">
        <v>70</v>
      </c>
      <c r="P62" s="43"/>
      <c r="Q62" s="97"/>
      <c r="R62" s="43">
        <v>71</v>
      </c>
      <c r="S62" s="97">
        <v>71</v>
      </c>
      <c r="T62" s="43"/>
      <c r="U62" s="97"/>
      <c r="V62" s="43"/>
      <c r="W62" s="97"/>
      <c r="X62" s="43"/>
      <c r="Y62" s="97"/>
      <c r="Z62" s="61">
        <f t="shared" si="9"/>
        <v>14336</v>
      </c>
      <c r="AA62" s="75">
        <f t="shared" si="9"/>
        <v>15227</v>
      </c>
      <c r="AB62" s="43"/>
      <c r="AC62" s="97"/>
      <c r="AD62" s="43">
        <v>485</v>
      </c>
      <c r="AE62" s="97">
        <v>1100</v>
      </c>
      <c r="AF62" s="43">
        <v>703</v>
      </c>
      <c r="AG62" s="97">
        <v>500</v>
      </c>
      <c r="AH62" s="43">
        <v>2859</v>
      </c>
      <c r="AI62" s="97">
        <v>2853</v>
      </c>
      <c r="AJ62" s="43"/>
      <c r="AK62" s="97"/>
      <c r="AL62" s="151"/>
      <c r="AM62" s="97"/>
      <c r="AN62" s="151"/>
      <c r="AO62" s="153"/>
      <c r="AP62" s="61">
        <f t="shared" si="10"/>
        <v>18383</v>
      </c>
      <c r="AQ62" s="75">
        <f t="shared" si="10"/>
        <v>19680</v>
      </c>
      <c r="AR62" s="150" t="s">
        <v>74</v>
      </c>
      <c r="AS62" s="21">
        <f t="shared" si="2"/>
        <v>1297</v>
      </c>
      <c r="AT62" s="21">
        <f t="shared" si="3"/>
        <v>891</v>
      </c>
      <c r="AU62" s="21">
        <f t="shared" si="4"/>
        <v>406</v>
      </c>
    </row>
    <row r="63" spans="1:47" x14ac:dyDescent="0.25">
      <c r="A63" s="4" t="s">
        <v>124</v>
      </c>
      <c r="B63" s="4" t="s">
        <v>77</v>
      </c>
      <c r="C63" s="5" t="s">
        <v>73</v>
      </c>
      <c r="D63" s="43">
        <v>32909</v>
      </c>
      <c r="E63" s="97">
        <v>33176</v>
      </c>
      <c r="F63" s="43">
        <v>190</v>
      </c>
      <c r="G63" s="97">
        <v>190</v>
      </c>
      <c r="H63" s="43">
        <v>4746</v>
      </c>
      <c r="I63" s="97">
        <v>4746</v>
      </c>
      <c r="J63" s="43">
        <v>500</v>
      </c>
      <c r="K63" s="97">
        <v>500</v>
      </c>
      <c r="L63" s="43">
        <v>800</v>
      </c>
      <c r="M63" s="97">
        <v>800</v>
      </c>
      <c r="N63" s="43">
        <v>150</v>
      </c>
      <c r="O63" s="97">
        <v>150</v>
      </c>
      <c r="P63" s="43"/>
      <c r="Q63" s="97"/>
      <c r="R63" s="43">
        <v>940</v>
      </c>
      <c r="S63" s="97">
        <v>940</v>
      </c>
      <c r="T63" s="43"/>
      <c r="U63" s="97"/>
      <c r="V63" s="43"/>
      <c r="W63" s="97"/>
      <c r="X63" s="43"/>
      <c r="Y63" s="97"/>
      <c r="Z63" s="61">
        <f t="shared" si="9"/>
        <v>40235</v>
      </c>
      <c r="AA63" s="75">
        <f t="shared" si="9"/>
        <v>40502</v>
      </c>
      <c r="AB63" s="43">
        <v>110</v>
      </c>
      <c r="AC63" s="97">
        <v>110</v>
      </c>
      <c r="AD63" s="43">
        <v>9452</v>
      </c>
      <c r="AE63" s="97">
        <v>9000</v>
      </c>
      <c r="AF63" s="43">
        <v>3350</v>
      </c>
      <c r="AG63" s="97">
        <v>3000</v>
      </c>
      <c r="AH63" s="43"/>
      <c r="AI63" s="97"/>
      <c r="AJ63" s="43"/>
      <c r="AK63" s="97"/>
      <c r="AL63" s="151"/>
      <c r="AM63" s="97"/>
      <c r="AN63" s="151"/>
      <c r="AO63" s="153"/>
      <c r="AP63" s="61">
        <f t="shared" si="10"/>
        <v>53147</v>
      </c>
      <c r="AQ63" s="75">
        <f t="shared" si="10"/>
        <v>52612</v>
      </c>
      <c r="AR63" s="150" t="s">
        <v>74</v>
      </c>
      <c r="AS63" s="21">
        <f t="shared" si="2"/>
        <v>-535</v>
      </c>
      <c r="AT63" s="21">
        <f t="shared" si="3"/>
        <v>267</v>
      </c>
      <c r="AU63" s="21">
        <f t="shared" si="4"/>
        <v>-802</v>
      </c>
    </row>
    <row r="64" spans="1:47" x14ac:dyDescent="0.25">
      <c r="A64" s="4" t="s">
        <v>124</v>
      </c>
      <c r="B64" s="4" t="s">
        <v>127</v>
      </c>
      <c r="C64" s="5" t="s">
        <v>82</v>
      </c>
      <c r="D64" s="43">
        <v>67426</v>
      </c>
      <c r="E64" s="97">
        <v>54740</v>
      </c>
      <c r="F64" s="43">
        <v>300</v>
      </c>
      <c r="G64" s="97">
        <v>300</v>
      </c>
      <c r="H64" s="43">
        <v>20340</v>
      </c>
      <c r="I64" s="97">
        <v>20340</v>
      </c>
      <c r="J64" s="43">
        <v>2376</v>
      </c>
      <c r="K64" s="97">
        <v>2376</v>
      </c>
      <c r="L64" s="43">
        <v>5500</v>
      </c>
      <c r="M64" s="97">
        <v>5500</v>
      </c>
      <c r="N64" s="43">
        <v>240</v>
      </c>
      <c r="O64" s="97">
        <v>240</v>
      </c>
      <c r="P64" s="43"/>
      <c r="Q64" s="97"/>
      <c r="R64" s="43">
        <v>500</v>
      </c>
      <c r="S64" s="97">
        <v>500</v>
      </c>
      <c r="T64" s="43">
        <v>12499</v>
      </c>
      <c r="U64" s="97">
        <v>10802</v>
      </c>
      <c r="V64" s="43"/>
      <c r="W64" s="97"/>
      <c r="X64" s="43"/>
      <c r="Y64" s="97"/>
      <c r="Z64" s="61">
        <f t="shared" si="9"/>
        <v>109181</v>
      </c>
      <c r="AA64" s="75">
        <f t="shared" si="9"/>
        <v>94798</v>
      </c>
      <c r="AB64" s="43"/>
      <c r="AC64" s="97">
        <v>100</v>
      </c>
      <c r="AD64" s="43">
        <v>4675</v>
      </c>
      <c r="AE64" s="97">
        <v>5000</v>
      </c>
      <c r="AF64" s="43">
        <v>4549</v>
      </c>
      <c r="AG64" s="97">
        <v>5000</v>
      </c>
      <c r="AH64" s="43"/>
      <c r="AI64" s="97"/>
      <c r="AJ64" s="43"/>
      <c r="AK64" s="97"/>
      <c r="AL64" s="151"/>
      <c r="AM64" s="97"/>
      <c r="AN64" s="151"/>
      <c r="AO64" s="153"/>
      <c r="AP64" s="61">
        <f t="shared" si="10"/>
        <v>118405</v>
      </c>
      <c r="AQ64" s="75">
        <f t="shared" si="10"/>
        <v>104898</v>
      </c>
      <c r="AR64" s="150" t="s">
        <v>128</v>
      </c>
      <c r="AS64" s="21">
        <f t="shared" si="2"/>
        <v>-13507</v>
      </c>
      <c r="AT64" s="21">
        <f t="shared" si="3"/>
        <v>-12686</v>
      </c>
      <c r="AU64" s="21">
        <f t="shared" si="4"/>
        <v>-821</v>
      </c>
    </row>
    <row r="65" spans="1:47" ht="26.25" x14ac:dyDescent="0.25">
      <c r="A65" s="4" t="s">
        <v>124</v>
      </c>
      <c r="B65" s="4" t="s">
        <v>83</v>
      </c>
      <c r="C65" s="5" t="s">
        <v>82</v>
      </c>
      <c r="D65" s="43">
        <f>66165+1397</f>
        <v>67562</v>
      </c>
      <c r="E65" s="97">
        <v>48724</v>
      </c>
      <c r="F65" s="43"/>
      <c r="G65" s="97"/>
      <c r="H65" s="43"/>
      <c r="I65" s="97"/>
      <c r="J65" s="43"/>
      <c r="K65" s="97"/>
      <c r="L65" s="43"/>
      <c r="M65" s="97"/>
      <c r="N65" s="43"/>
      <c r="O65" s="97"/>
      <c r="P65" s="43"/>
      <c r="Q65" s="97"/>
      <c r="R65" s="43"/>
      <c r="S65" s="97"/>
      <c r="T65" s="43"/>
      <c r="U65" s="97"/>
      <c r="V65" s="43"/>
      <c r="W65" s="97"/>
      <c r="X65" s="43"/>
      <c r="Y65" s="97"/>
      <c r="Z65" s="61">
        <f t="shared" si="9"/>
        <v>67562</v>
      </c>
      <c r="AA65" s="75">
        <f t="shared" si="9"/>
        <v>48724</v>
      </c>
      <c r="AB65" s="43"/>
      <c r="AC65" s="97"/>
      <c r="AD65" s="43"/>
      <c r="AE65" s="97"/>
      <c r="AF65" s="43"/>
      <c r="AG65" s="97"/>
      <c r="AH65" s="43"/>
      <c r="AI65" s="97"/>
      <c r="AJ65" s="43"/>
      <c r="AK65" s="97"/>
      <c r="AL65" s="151"/>
      <c r="AM65" s="97"/>
      <c r="AN65" s="151"/>
      <c r="AO65" s="153"/>
      <c r="AP65" s="61">
        <f t="shared" si="10"/>
        <v>67562</v>
      </c>
      <c r="AQ65" s="75">
        <f t="shared" si="10"/>
        <v>48724</v>
      </c>
      <c r="AR65" s="150" t="s">
        <v>128</v>
      </c>
      <c r="AS65" s="21">
        <f t="shared" si="2"/>
        <v>-18838</v>
      </c>
      <c r="AT65" s="21">
        <f t="shared" si="3"/>
        <v>-18838</v>
      </c>
      <c r="AU65" s="21">
        <f t="shared" si="4"/>
        <v>0</v>
      </c>
    </row>
    <row r="66" spans="1:47" x14ac:dyDescent="0.25">
      <c r="A66" s="4" t="s">
        <v>124</v>
      </c>
      <c r="B66" s="4" t="s">
        <v>85</v>
      </c>
      <c r="C66" s="5" t="s">
        <v>86</v>
      </c>
      <c r="D66" s="43">
        <v>18018</v>
      </c>
      <c r="E66" s="97">
        <v>19918</v>
      </c>
      <c r="F66" s="43">
        <v>380</v>
      </c>
      <c r="G66" s="97">
        <v>380</v>
      </c>
      <c r="H66" s="43"/>
      <c r="I66" s="97"/>
      <c r="J66" s="43">
        <v>1500</v>
      </c>
      <c r="K66" s="97">
        <v>1500</v>
      </c>
      <c r="L66" s="43">
        <v>6500</v>
      </c>
      <c r="M66" s="97">
        <v>6500</v>
      </c>
      <c r="N66" s="43">
        <v>650</v>
      </c>
      <c r="O66" s="97">
        <v>650</v>
      </c>
      <c r="P66" s="43">
        <v>2700</v>
      </c>
      <c r="Q66" s="97">
        <v>2700</v>
      </c>
      <c r="R66" s="43">
        <v>500</v>
      </c>
      <c r="S66" s="97">
        <v>500</v>
      </c>
      <c r="T66" s="43">
        <v>3620</v>
      </c>
      <c r="U66" s="97">
        <v>3620</v>
      </c>
      <c r="V66" s="43"/>
      <c r="W66" s="97"/>
      <c r="X66" s="43"/>
      <c r="Y66" s="97"/>
      <c r="Z66" s="61">
        <f t="shared" si="9"/>
        <v>33868</v>
      </c>
      <c r="AA66" s="75">
        <f t="shared" si="9"/>
        <v>35768</v>
      </c>
      <c r="AB66" s="43"/>
      <c r="AC66" s="97"/>
      <c r="AD66" s="43">
        <v>5566</v>
      </c>
      <c r="AE66" s="97">
        <v>5500</v>
      </c>
      <c r="AF66" s="43">
        <v>5926</v>
      </c>
      <c r="AG66" s="97">
        <v>6500</v>
      </c>
      <c r="AH66" s="43"/>
      <c r="AI66" s="97">
        <v>600</v>
      </c>
      <c r="AJ66" s="43"/>
      <c r="AK66" s="97"/>
      <c r="AL66" s="151"/>
      <c r="AM66" s="97"/>
      <c r="AN66" s="151"/>
      <c r="AO66" s="153"/>
      <c r="AP66" s="61">
        <f t="shared" si="10"/>
        <v>45360</v>
      </c>
      <c r="AQ66" s="75">
        <f t="shared" si="10"/>
        <v>48368</v>
      </c>
      <c r="AR66" s="150" t="s">
        <v>128</v>
      </c>
      <c r="AS66" s="21">
        <f t="shared" si="2"/>
        <v>3008</v>
      </c>
      <c r="AT66" s="21">
        <f t="shared" si="3"/>
        <v>1900</v>
      </c>
      <c r="AU66" s="21">
        <f t="shared" si="4"/>
        <v>1108</v>
      </c>
    </row>
    <row r="67" spans="1:47" ht="26.25" x14ac:dyDescent="0.25">
      <c r="A67" s="4" t="s">
        <v>124</v>
      </c>
      <c r="B67" s="4" t="s">
        <v>87</v>
      </c>
      <c r="C67" s="5" t="s">
        <v>86</v>
      </c>
      <c r="D67" s="43">
        <v>1241</v>
      </c>
      <c r="E67" s="97">
        <v>3985</v>
      </c>
      <c r="F67" s="43"/>
      <c r="G67" s="97"/>
      <c r="H67" s="43"/>
      <c r="I67" s="97"/>
      <c r="J67" s="43"/>
      <c r="K67" s="97"/>
      <c r="L67" s="43"/>
      <c r="M67" s="97"/>
      <c r="N67" s="43"/>
      <c r="O67" s="97"/>
      <c r="P67" s="43"/>
      <c r="Q67" s="97"/>
      <c r="R67" s="43"/>
      <c r="S67" s="97"/>
      <c r="T67" s="43"/>
      <c r="U67" s="97"/>
      <c r="V67" s="43"/>
      <c r="W67" s="97"/>
      <c r="X67" s="43"/>
      <c r="Y67" s="97"/>
      <c r="Z67" s="61">
        <f t="shared" si="9"/>
        <v>1241</v>
      </c>
      <c r="AA67" s="75">
        <f t="shared" si="9"/>
        <v>3985</v>
      </c>
      <c r="AB67" s="43"/>
      <c r="AC67" s="97"/>
      <c r="AD67" s="43"/>
      <c r="AE67" s="97"/>
      <c r="AF67" s="43"/>
      <c r="AG67" s="97"/>
      <c r="AH67" s="43"/>
      <c r="AI67" s="97"/>
      <c r="AJ67" s="43"/>
      <c r="AK67" s="97"/>
      <c r="AL67" s="151"/>
      <c r="AM67" s="97"/>
      <c r="AN67" s="151"/>
      <c r="AO67" s="153"/>
      <c r="AP67" s="61">
        <f t="shared" si="10"/>
        <v>1241</v>
      </c>
      <c r="AQ67" s="75">
        <f t="shared" si="10"/>
        <v>3985</v>
      </c>
      <c r="AR67" s="150" t="s">
        <v>128</v>
      </c>
      <c r="AS67" s="21">
        <f t="shared" si="2"/>
        <v>2744</v>
      </c>
      <c r="AT67" s="21">
        <f t="shared" si="3"/>
        <v>2744</v>
      </c>
      <c r="AU67" s="21">
        <f t="shared" si="4"/>
        <v>0</v>
      </c>
    </row>
    <row r="68" spans="1:47" ht="26.25" x14ac:dyDescent="0.25">
      <c r="A68" s="4" t="s">
        <v>124</v>
      </c>
      <c r="B68" s="4" t="s">
        <v>88</v>
      </c>
      <c r="C68" s="5" t="s">
        <v>86</v>
      </c>
      <c r="D68" s="43"/>
      <c r="E68" s="97"/>
      <c r="F68" s="43"/>
      <c r="G68" s="97"/>
      <c r="H68" s="43"/>
      <c r="I68" s="97"/>
      <c r="J68" s="43"/>
      <c r="K68" s="97"/>
      <c r="L68" s="43"/>
      <c r="M68" s="97"/>
      <c r="N68" s="43"/>
      <c r="O68" s="97"/>
      <c r="P68" s="43"/>
      <c r="Q68" s="97"/>
      <c r="R68" s="43"/>
      <c r="S68" s="97"/>
      <c r="T68" s="43">
        <v>2386</v>
      </c>
      <c r="U68" s="97">
        <v>2249</v>
      </c>
      <c r="V68" s="43"/>
      <c r="W68" s="97"/>
      <c r="X68" s="43"/>
      <c r="Y68" s="97"/>
      <c r="Z68" s="61">
        <f t="shared" si="9"/>
        <v>2386</v>
      </c>
      <c r="AA68" s="75">
        <f t="shared" si="9"/>
        <v>2249</v>
      </c>
      <c r="AB68" s="43"/>
      <c r="AC68" s="97"/>
      <c r="AD68" s="43"/>
      <c r="AE68" s="97"/>
      <c r="AF68" s="43"/>
      <c r="AG68" s="97"/>
      <c r="AH68" s="43"/>
      <c r="AI68" s="97"/>
      <c r="AJ68" s="43"/>
      <c r="AK68" s="97"/>
      <c r="AL68" s="151"/>
      <c r="AM68" s="97"/>
      <c r="AN68" s="151"/>
      <c r="AO68" s="153"/>
      <c r="AP68" s="61">
        <f t="shared" si="10"/>
        <v>2386</v>
      </c>
      <c r="AQ68" s="75">
        <f t="shared" si="10"/>
        <v>2249</v>
      </c>
      <c r="AR68" s="150" t="s">
        <v>128</v>
      </c>
      <c r="AS68" s="21">
        <f t="shared" si="2"/>
        <v>-137</v>
      </c>
      <c r="AT68" s="21">
        <f t="shared" si="3"/>
        <v>0</v>
      </c>
      <c r="AU68" s="21">
        <f t="shared" si="4"/>
        <v>-137</v>
      </c>
    </row>
    <row r="69" spans="1:47" x14ac:dyDescent="0.25">
      <c r="A69" s="4" t="s">
        <v>124</v>
      </c>
      <c r="B69" s="4" t="s">
        <v>90</v>
      </c>
      <c r="C69" s="5" t="s">
        <v>86</v>
      </c>
      <c r="D69" s="43"/>
      <c r="E69" s="97"/>
      <c r="F69" s="43"/>
      <c r="G69" s="97"/>
      <c r="H69" s="43"/>
      <c r="I69" s="97"/>
      <c r="J69" s="43"/>
      <c r="K69" s="97"/>
      <c r="L69" s="43"/>
      <c r="M69" s="97"/>
      <c r="N69" s="43"/>
      <c r="O69" s="97"/>
      <c r="P69" s="43"/>
      <c r="Q69" s="97"/>
      <c r="R69" s="43"/>
      <c r="S69" s="97"/>
      <c r="T69" s="43">
        <v>300</v>
      </c>
      <c r="U69" s="97">
        <v>300</v>
      </c>
      <c r="V69" s="43"/>
      <c r="W69" s="97"/>
      <c r="X69" s="43"/>
      <c r="Y69" s="97"/>
      <c r="Z69" s="61">
        <f t="shared" si="9"/>
        <v>300</v>
      </c>
      <c r="AA69" s="75">
        <f t="shared" si="9"/>
        <v>300</v>
      </c>
      <c r="AB69" s="43"/>
      <c r="AC69" s="97"/>
      <c r="AD69" s="43"/>
      <c r="AE69" s="97"/>
      <c r="AF69" s="43"/>
      <c r="AG69" s="97"/>
      <c r="AH69" s="43"/>
      <c r="AI69" s="97"/>
      <c r="AJ69" s="43"/>
      <c r="AK69" s="97"/>
      <c r="AL69" s="151"/>
      <c r="AM69" s="97"/>
      <c r="AN69" s="151"/>
      <c r="AO69" s="153"/>
      <c r="AP69" s="61">
        <f t="shared" si="10"/>
        <v>300</v>
      </c>
      <c r="AQ69" s="75">
        <f t="shared" si="10"/>
        <v>300</v>
      </c>
      <c r="AR69" s="150" t="s">
        <v>128</v>
      </c>
      <c r="AS69" s="21">
        <f t="shared" si="2"/>
        <v>0</v>
      </c>
      <c r="AT69" s="21">
        <f t="shared" si="3"/>
        <v>0</v>
      </c>
      <c r="AU69" s="21">
        <f t="shared" si="4"/>
        <v>0</v>
      </c>
    </row>
    <row r="70" spans="1:47" ht="30" x14ac:dyDescent="0.25">
      <c r="A70" s="4" t="s">
        <v>124</v>
      </c>
      <c r="B70" s="4" t="s">
        <v>129</v>
      </c>
      <c r="C70" s="5" t="s">
        <v>104</v>
      </c>
      <c r="D70" s="43"/>
      <c r="E70" s="97"/>
      <c r="F70" s="43">
        <v>140</v>
      </c>
      <c r="G70" s="97">
        <v>140</v>
      </c>
      <c r="H70" s="43">
        <v>305</v>
      </c>
      <c r="I70" s="97">
        <v>305</v>
      </c>
      <c r="J70" s="43">
        <v>35</v>
      </c>
      <c r="K70" s="97">
        <v>35</v>
      </c>
      <c r="L70" s="43">
        <v>220</v>
      </c>
      <c r="M70" s="97">
        <v>220</v>
      </c>
      <c r="N70" s="43">
        <v>30</v>
      </c>
      <c r="O70" s="97">
        <v>30</v>
      </c>
      <c r="P70" s="43"/>
      <c r="Q70" s="97"/>
      <c r="R70" s="43">
        <v>250</v>
      </c>
      <c r="S70" s="97">
        <v>250</v>
      </c>
      <c r="T70" s="43"/>
      <c r="U70" s="97"/>
      <c r="V70" s="43"/>
      <c r="W70" s="97"/>
      <c r="X70" s="43"/>
      <c r="Y70" s="97"/>
      <c r="Z70" s="61">
        <f t="shared" si="9"/>
        <v>980</v>
      </c>
      <c r="AA70" s="75">
        <f t="shared" si="9"/>
        <v>980</v>
      </c>
      <c r="AB70" s="43"/>
      <c r="AC70" s="97"/>
      <c r="AD70" s="43">
        <v>70</v>
      </c>
      <c r="AE70" s="97">
        <v>25</v>
      </c>
      <c r="AF70" s="43">
        <v>398</v>
      </c>
      <c r="AG70" s="97">
        <v>100</v>
      </c>
      <c r="AH70" s="43"/>
      <c r="AI70" s="97"/>
      <c r="AJ70" s="43"/>
      <c r="AK70" s="97"/>
      <c r="AL70" s="151"/>
      <c r="AM70" s="97"/>
      <c r="AN70" s="151"/>
      <c r="AO70" s="153"/>
      <c r="AP70" s="61">
        <f t="shared" si="10"/>
        <v>1448</v>
      </c>
      <c r="AQ70" s="75">
        <f t="shared" si="10"/>
        <v>1105</v>
      </c>
      <c r="AR70" s="150" t="s">
        <v>102</v>
      </c>
      <c r="AS70" s="21">
        <f t="shared" si="2"/>
        <v>-343</v>
      </c>
      <c r="AT70" s="21">
        <f t="shared" si="3"/>
        <v>0</v>
      </c>
      <c r="AU70" s="21">
        <f t="shared" si="4"/>
        <v>-343</v>
      </c>
    </row>
    <row r="71" spans="1:47" x14ac:dyDescent="0.25">
      <c r="A71" s="4" t="s">
        <v>124</v>
      </c>
      <c r="B71" s="4" t="s">
        <v>69</v>
      </c>
      <c r="C71" s="5" t="s">
        <v>70</v>
      </c>
      <c r="D71" s="43">
        <v>1698</v>
      </c>
      <c r="E71" s="97">
        <v>1780</v>
      </c>
      <c r="F71" s="43">
        <v>84</v>
      </c>
      <c r="G71" s="97">
        <v>0</v>
      </c>
      <c r="H71" s="43"/>
      <c r="I71" s="97"/>
      <c r="J71" s="43"/>
      <c r="K71" s="97"/>
      <c r="L71" s="43"/>
      <c r="M71" s="97"/>
      <c r="N71" s="43"/>
      <c r="O71" s="97"/>
      <c r="P71" s="43"/>
      <c r="Q71" s="97"/>
      <c r="R71" s="43">
        <v>142</v>
      </c>
      <c r="S71" s="97">
        <v>142</v>
      </c>
      <c r="T71" s="43"/>
      <c r="U71" s="97"/>
      <c r="V71" s="43"/>
      <c r="W71" s="97"/>
      <c r="X71" s="43"/>
      <c r="Y71" s="97"/>
      <c r="Z71" s="61">
        <f t="shared" si="9"/>
        <v>1924</v>
      </c>
      <c r="AA71" s="75">
        <f t="shared" si="9"/>
        <v>1922</v>
      </c>
      <c r="AB71" s="43"/>
      <c r="AC71" s="97"/>
      <c r="AD71" s="43">
        <v>966</v>
      </c>
      <c r="AE71" s="97">
        <v>966</v>
      </c>
      <c r="AF71" s="43">
        <v>1378</v>
      </c>
      <c r="AG71" s="97">
        <v>1378</v>
      </c>
      <c r="AH71" s="43"/>
      <c r="AI71" s="97"/>
      <c r="AJ71" s="43"/>
      <c r="AK71" s="97"/>
      <c r="AL71" s="151"/>
      <c r="AM71" s="97"/>
      <c r="AN71" s="151"/>
      <c r="AO71" s="153"/>
      <c r="AP71" s="61">
        <f t="shared" si="10"/>
        <v>4268</v>
      </c>
      <c r="AQ71" s="75">
        <f t="shared" si="10"/>
        <v>4266</v>
      </c>
      <c r="AR71" s="150" t="s">
        <v>71</v>
      </c>
      <c r="AS71" s="21">
        <f t="shared" si="2"/>
        <v>-2</v>
      </c>
      <c r="AT71" s="21">
        <f t="shared" si="3"/>
        <v>82</v>
      </c>
      <c r="AU71" s="21">
        <f t="shared" si="4"/>
        <v>-84</v>
      </c>
    </row>
    <row r="72" spans="1:47" x14ac:dyDescent="0.25">
      <c r="A72" s="4" t="s">
        <v>124</v>
      </c>
      <c r="B72" s="4" t="s">
        <v>130</v>
      </c>
      <c r="C72" s="5" t="s">
        <v>73</v>
      </c>
      <c r="D72" s="43"/>
      <c r="E72" s="97"/>
      <c r="F72" s="43"/>
      <c r="G72" s="97"/>
      <c r="H72" s="43"/>
      <c r="I72" s="97"/>
      <c r="J72" s="43"/>
      <c r="K72" s="97"/>
      <c r="L72" s="43"/>
      <c r="M72" s="97"/>
      <c r="N72" s="43"/>
      <c r="O72" s="97"/>
      <c r="P72" s="43"/>
      <c r="Q72" s="97"/>
      <c r="R72" s="43"/>
      <c r="S72" s="97"/>
      <c r="T72" s="43"/>
      <c r="U72" s="97"/>
      <c r="V72" s="43"/>
      <c r="W72" s="97"/>
      <c r="X72" s="43"/>
      <c r="Y72" s="97"/>
      <c r="Z72" s="61">
        <f t="shared" si="9"/>
        <v>0</v>
      </c>
      <c r="AA72" s="75">
        <f t="shared" si="9"/>
        <v>0</v>
      </c>
      <c r="AB72" s="43"/>
      <c r="AC72" s="97"/>
      <c r="AD72" s="43">
        <f>5884+1332</f>
        <v>7216</v>
      </c>
      <c r="AE72" s="97">
        <v>7216</v>
      </c>
      <c r="AF72" s="43"/>
      <c r="AG72" s="97"/>
      <c r="AH72" s="43"/>
      <c r="AI72" s="97"/>
      <c r="AJ72" s="43"/>
      <c r="AK72" s="97"/>
      <c r="AL72" s="151"/>
      <c r="AM72" s="97"/>
      <c r="AN72" s="151"/>
      <c r="AO72" s="153"/>
      <c r="AP72" s="61">
        <f t="shared" si="10"/>
        <v>7216</v>
      </c>
      <c r="AQ72" s="75">
        <f t="shared" si="10"/>
        <v>7216</v>
      </c>
      <c r="AR72" s="150" t="s">
        <v>58</v>
      </c>
      <c r="AS72" s="21">
        <f t="shared" si="2"/>
        <v>0</v>
      </c>
      <c r="AT72" s="21">
        <f t="shared" si="3"/>
        <v>0</v>
      </c>
      <c r="AU72" s="21">
        <f t="shared" si="4"/>
        <v>0</v>
      </c>
    </row>
    <row r="73" spans="1:47" x14ac:dyDescent="0.25">
      <c r="A73" s="4" t="s">
        <v>124</v>
      </c>
      <c r="B73" s="4" t="s">
        <v>97</v>
      </c>
      <c r="C73" s="5" t="s">
        <v>96</v>
      </c>
      <c r="D73" s="43"/>
      <c r="E73" s="97"/>
      <c r="F73" s="43"/>
      <c r="G73" s="97"/>
      <c r="H73" s="43"/>
      <c r="I73" s="97"/>
      <c r="J73" s="43"/>
      <c r="K73" s="97"/>
      <c r="L73" s="43"/>
      <c r="M73" s="97"/>
      <c r="N73" s="43"/>
      <c r="O73" s="97"/>
      <c r="P73" s="43"/>
      <c r="Q73" s="97"/>
      <c r="R73" s="43">
        <v>7537</v>
      </c>
      <c r="S73" s="97">
        <v>7537</v>
      </c>
      <c r="T73" s="43"/>
      <c r="U73" s="97"/>
      <c r="V73" s="96">
        <v>11881</v>
      </c>
      <c r="W73" s="97">
        <v>7667</v>
      </c>
      <c r="X73" s="43"/>
      <c r="Y73" s="97"/>
      <c r="Z73" s="61">
        <f t="shared" si="9"/>
        <v>19418</v>
      </c>
      <c r="AA73" s="75">
        <f t="shared" si="9"/>
        <v>15204</v>
      </c>
      <c r="AB73" s="43"/>
      <c r="AC73" s="97"/>
      <c r="AD73" s="43"/>
      <c r="AE73" s="97"/>
      <c r="AF73" s="43"/>
      <c r="AG73" s="97"/>
      <c r="AH73" s="43"/>
      <c r="AI73" s="97"/>
      <c r="AJ73" s="43"/>
      <c r="AK73" s="97"/>
      <c r="AL73" s="151"/>
      <c r="AM73" s="97"/>
      <c r="AN73" s="151"/>
      <c r="AO73" s="153"/>
      <c r="AP73" s="61">
        <f t="shared" si="10"/>
        <v>19418</v>
      </c>
      <c r="AQ73" s="75">
        <f t="shared" si="10"/>
        <v>15204</v>
      </c>
      <c r="AR73" s="150" t="s">
        <v>128</v>
      </c>
      <c r="AS73" s="21">
        <f t="shared" ref="AS73:AS136" si="11">$AQ73-$AP73</f>
        <v>-4214</v>
      </c>
      <c r="AT73" s="21">
        <f t="shared" ref="AT73:AT136" si="12">$E73-$D73</f>
        <v>0</v>
      </c>
      <c r="AU73" s="21">
        <f t="shared" ref="AU73:AU136" si="13">AQ73-E73-AP73+D73</f>
        <v>-4214</v>
      </c>
    </row>
    <row r="74" spans="1:47" x14ac:dyDescent="0.25">
      <c r="A74" s="4" t="s">
        <v>124</v>
      </c>
      <c r="B74" s="4" t="s">
        <v>131</v>
      </c>
      <c r="C74" s="5" t="s">
        <v>67</v>
      </c>
      <c r="D74" s="43">
        <v>13163</v>
      </c>
      <c r="E74" s="97">
        <v>13511</v>
      </c>
      <c r="F74" s="43">
        <v>150</v>
      </c>
      <c r="G74" s="97">
        <v>234</v>
      </c>
      <c r="H74" s="43">
        <v>400</v>
      </c>
      <c r="I74" s="97">
        <v>400</v>
      </c>
      <c r="J74" s="43">
        <v>130</v>
      </c>
      <c r="K74" s="97">
        <v>130</v>
      </c>
      <c r="L74" s="43">
        <v>550</v>
      </c>
      <c r="M74" s="97">
        <v>550</v>
      </c>
      <c r="N74" s="43">
        <v>170</v>
      </c>
      <c r="O74" s="97">
        <v>170</v>
      </c>
      <c r="P74" s="43"/>
      <c r="Q74" s="97"/>
      <c r="R74" s="43">
        <v>250</v>
      </c>
      <c r="S74" s="97">
        <v>250</v>
      </c>
      <c r="T74" s="43"/>
      <c r="U74" s="97"/>
      <c r="V74" s="43"/>
      <c r="W74" s="97"/>
      <c r="X74" s="43"/>
      <c r="Y74" s="97"/>
      <c r="Z74" s="61">
        <f t="shared" si="9"/>
        <v>14813</v>
      </c>
      <c r="AA74" s="75">
        <f t="shared" si="9"/>
        <v>15245</v>
      </c>
      <c r="AB74" s="43"/>
      <c r="AC74" s="97"/>
      <c r="AD74" s="43">
        <v>1200</v>
      </c>
      <c r="AE74" s="97">
        <v>1000</v>
      </c>
      <c r="AF74" s="43">
        <v>2763</v>
      </c>
      <c r="AG74" s="97">
        <v>2500</v>
      </c>
      <c r="AH74" s="43"/>
      <c r="AI74" s="97"/>
      <c r="AJ74" s="43"/>
      <c r="AK74" s="97"/>
      <c r="AL74" s="151"/>
      <c r="AM74" s="97"/>
      <c r="AN74" s="151"/>
      <c r="AO74" s="153"/>
      <c r="AP74" s="61">
        <f t="shared" si="10"/>
        <v>18776</v>
      </c>
      <c r="AQ74" s="75">
        <f t="shared" si="10"/>
        <v>18745</v>
      </c>
      <c r="AR74" s="150" t="s">
        <v>68</v>
      </c>
      <c r="AS74" s="21">
        <f t="shared" si="11"/>
        <v>-31</v>
      </c>
      <c r="AT74" s="21">
        <f t="shared" si="12"/>
        <v>348</v>
      </c>
      <c r="AU74" s="21">
        <f t="shared" si="13"/>
        <v>-379</v>
      </c>
    </row>
    <row r="75" spans="1:47" ht="30" x14ac:dyDescent="0.25">
      <c r="A75" s="4" t="s">
        <v>124</v>
      </c>
      <c r="B75" s="4" t="s">
        <v>100</v>
      </c>
      <c r="C75" s="5" t="s">
        <v>101</v>
      </c>
      <c r="D75" s="43"/>
      <c r="E75" s="97"/>
      <c r="F75" s="43"/>
      <c r="G75" s="97"/>
      <c r="H75" s="43"/>
      <c r="I75" s="97"/>
      <c r="J75" s="43"/>
      <c r="K75" s="97"/>
      <c r="L75" s="43"/>
      <c r="M75" s="97"/>
      <c r="N75" s="43"/>
      <c r="O75" s="97"/>
      <c r="P75" s="43"/>
      <c r="Q75" s="97"/>
      <c r="R75" s="43"/>
      <c r="S75" s="97"/>
      <c r="T75" s="43"/>
      <c r="U75" s="97"/>
      <c r="V75" s="43"/>
      <c r="W75" s="97"/>
      <c r="X75" s="43"/>
      <c r="Y75" s="97"/>
      <c r="Z75" s="61">
        <f t="shared" si="9"/>
        <v>0</v>
      </c>
      <c r="AA75" s="75">
        <f t="shared" si="9"/>
        <v>0</v>
      </c>
      <c r="AB75" s="43"/>
      <c r="AC75" s="97"/>
      <c r="AD75" s="43"/>
      <c r="AE75" s="97"/>
      <c r="AF75" s="43"/>
      <c r="AG75" s="97"/>
      <c r="AH75" s="43"/>
      <c r="AI75" s="97"/>
      <c r="AJ75" s="43"/>
      <c r="AK75" s="97"/>
      <c r="AL75" s="151">
        <v>13560</v>
      </c>
      <c r="AM75" s="97">
        <v>12000</v>
      </c>
      <c r="AN75" s="151"/>
      <c r="AO75" s="153"/>
      <c r="AP75" s="61">
        <f t="shared" si="10"/>
        <v>13560</v>
      </c>
      <c r="AQ75" s="75">
        <f t="shared" si="10"/>
        <v>12000</v>
      </c>
      <c r="AR75" s="150" t="s">
        <v>102</v>
      </c>
      <c r="AS75" s="21">
        <f t="shared" si="11"/>
        <v>-1560</v>
      </c>
      <c r="AT75" s="21">
        <f t="shared" si="12"/>
        <v>0</v>
      </c>
      <c r="AU75" s="21">
        <f t="shared" si="13"/>
        <v>-1560</v>
      </c>
    </row>
    <row r="76" spans="1:47" x14ac:dyDescent="0.25">
      <c r="A76" s="4" t="s">
        <v>124</v>
      </c>
      <c r="B76" s="4" t="s">
        <v>105</v>
      </c>
      <c r="C76" s="5"/>
      <c r="D76" s="43">
        <v>7511</v>
      </c>
      <c r="E76" s="97">
        <v>7176</v>
      </c>
      <c r="F76" s="43"/>
      <c r="G76" s="97"/>
      <c r="H76" s="43"/>
      <c r="I76" s="97"/>
      <c r="J76" s="43"/>
      <c r="K76" s="97"/>
      <c r="L76" s="43"/>
      <c r="M76" s="97"/>
      <c r="N76" s="43"/>
      <c r="O76" s="97"/>
      <c r="P76" s="43"/>
      <c r="Q76" s="97"/>
      <c r="R76" s="43"/>
      <c r="S76" s="97"/>
      <c r="T76" s="43"/>
      <c r="U76" s="97"/>
      <c r="V76" s="43"/>
      <c r="W76" s="97"/>
      <c r="X76" s="43"/>
      <c r="Y76" s="97"/>
      <c r="Z76" s="61">
        <f t="shared" si="9"/>
        <v>7511</v>
      </c>
      <c r="AA76" s="75">
        <f t="shared" si="9"/>
        <v>7176</v>
      </c>
      <c r="AB76" s="43"/>
      <c r="AC76" s="97"/>
      <c r="AD76" s="43"/>
      <c r="AE76" s="97"/>
      <c r="AF76" s="43"/>
      <c r="AG76" s="97"/>
      <c r="AH76" s="43"/>
      <c r="AI76" s="97"/>
      <c r="AJ76" s="43"/>
      <c r="AK76" s="97"/>
      <c r="AL76" s="151"/>
      <c r="AM76" s="153"/>
      <c r="AN76" s="151"/>
      <c r="AO76" s="153"/>
      <c r="AP76" s="61">
        <f t="shared" si="10"/>
        <v>7511</v>
      </c>
      <c r="AQ76" s="75">
        <f t="shared" si="10"/>
        <v>7176</v>
      </c>
      <c r="AR76" s="150" t="s">
        <v>58</v>
      </c>
      <c r="AS76" s="21">
        <f t="shared" si="11"/>
        <v>-335</v>
      </c>
      <c r="AT76" s="21">
        <f t="shared" si="12"/>
        <v>-335</v>
      </c>
      <c r="AU76" s="21">
        <f t="shared" si="13"/>
        <v>0</v>
      </c>
    </row>
    <row r="77" spans="1:47" x14ac:dyDescent="0.25">
      <c r="A77" s="4" t="s">
        <v>124</v>
      </c>
      <c r="B77" s="4" t="s">
        <v>106</v>
      </c>
      <c r="C77" s="5"/>
      <c r="D77" s="43">
        <v>5725</v>
      </c>
      <c r="E77" s="97">
        <v>5864</v>
      </c>
      <c r="F77" s="43"/>
      <c r="G77" s="97"/>
      <c r="H77" s="43"/>
      <c r="I77" s="97"/>
      <c r="J77" s="43"/>
      <c r="K77" s="97"/>
      <c r="L77" s="43"/>
      <c r="M77" s="97"/>
      <c r="N77" s="43"/>
      <c r="O77" s="97"/>
      <c r="P77" s="43"/>
      <c r="Q77" s="97"/>
      <c r="R77" s="43"/>
      <c r="S77" s="97"/>
      <c r="T77" s="43"/>
      <c r="U77" s="97"/>
      <c r="V77" s="43"/>
      <c r="W77" s="97"/>
      <c r="X77" s="43"/>
      <c r="Y77" s="97"/>
      <c r="Z77" s="61">
        <f t="shared" si="9"/>
        <v>5725</v>
      </c>
      <c r="AA77" s="75">
        <f t="shared" si="9"/>
        <v>5864</v>
      </c>
      <c r="AB77" s="43"/>
      <c r="AC77" s="97"/>
      <c r="AD77" s="43"/>
      <c r="AE77" s="97"/>
      <c r="AF77" s="43"/>
      <c r="AG77" s="97"/>
      <c r="AH77" s="43"/>
      <c r="AI77" s="97"/>
      <c r="AJ77" s="43"/>
      <c r="AK77" s="97"/>
      <c r="AL77" s="151"/>
      <c r="AM77" s="153"/>
      <c r="AN77" s="151"/>
      <c r="AO77" s="153"/>
      <c r="AP77" s="61">
        <f t="shared" si="10"/>
        <v>5725</v>
      </c>
      <c r="AQ77" s="75">
        <f t="shared" si="10"/>
        <v>5864</v>
      </c>
      <c r="AR77" s="150" t="s">
        <v>58</v>
      </c>
      <c r="AS77" s="21">
        <f t="shared" si="11"/>
        <v>139</v>
      </c>
      <c r="AT77" s="21">
        <f t="shared" si="12"/>
        <v>139</v>
      </c>
      <c r="AU77" s="21">
        <f t="shared" si="13"/>
        <v>0</v>
      </c>
    </row>
    <row r="78" spans="1:47" x14ac:dyDescent="0.25">
      <c r="A78" s="16" t="s">
        <v>132</v>
      </c>
      <c r="B78" s="16" t="s">
        <v>108</v>
      </c>
      <c r="C78" s="17"/>
      <c r="D78" s="18">
        <f t="shared" ref="D78:AQ78" si="14">SUM(D59:D77)</f>
        <v>358025</v>
      </c>
      <c r="E78" s="105">
        <f t="shared" si="14"/>
        <v>347282</v>
      </c>
      <c r="F78" s="18">
        <f t="shared" si="14"/>
        <v>1984</v>
      </c>
      <c r="G78" s="18">
        <f t="shared" si="14"/>
        <v>1984</v>
      </c>
      <c r="H78" s="18">
        <f t="shared" si="14"/>
        <v>39784</v>
      </c>
      <c r="I78" s="18">
        <f t="shared" si="14"/>
        <v>39784</v>
      </c>
      <c r="J78" s="18">
        <f t="shared" si="14"/>
        <v>5396</v>
      </c>
      <c r="K78" s="18">
        <f t="shared" si="14"/>
        <v>5396</v>
      </c>
      <c r="L78" s="18">
        <f t="shared" si="14"/>
        <v>17510</v>
      </c>
      <c r="M78" s="18">
        <f t="shared" si="14"/>
        <v>17510</v>
      </c>
      <c r="N78" s="18">
        <f t="shared" si="14"/>
        <v>4436</v>
      </c>
      <c r="O78" s="18">
        <f t="shared" si="14"/>
        <v>4436</v>
      </c>
      <c r="P78" s="18">
        <f t="shared" si="14"/>
        <v>2700</v>
      </c>
      <c r="Q78" s="18">
        <f t="shared" si="14"/>
        <v>2700</v>
      </c>
      <c r="R78" s="18">
        <f t="shared" si="14"/>
        <v>13388</v>
      </c>
      <c r="S78" s="18">
        <f t="shared" si="14"/>
        <v>13388</v>
      </c>
      <c r="T78" s="18">
        <f t="shared" si="14"/>
        <v>18805</v>
      </c>
      <c r="U78" s="18">
        <f t="shared" si="14"/>
        <v>16971</v>
      </c>
      <c r="V78" s="18">
        <f t="shared" si="14"/>
        <v>11881</v>
      </c>
      <c r="W78" s="18">
        <f t="shared" si="14"/>
        <v>7667</v>
      </c>
      <c r="X78" s="18">
        <f t="shared" si="14"/>
        <v>0</v>
      </c>
      <c r="Y78" s="18">
        <f t="shared" si="14"/>
        <v>0</v>
      </c>
      <c r="Z78" s="18">
        <f t="shared" si="14"/>
        <v>473909</v>
      </c>
      <c r="AA78" s="18">
        <f t="shared" si="14"/>
        <v>457118</v>
      </c>
      <c r="AB78" s="18">
        <f t="shared" si="14"/>
        <v>110</v>
      </c>
      <c r="AC78" s="18">
        <f t="shared" si="14"/>
        <v>210</v>
      </c>
      <c r="AD78" s="18">
        <f t="shared" si="14"/>
        <v>70585</v>
      </c>
      <c r="AE78" s="18">
        <f t="shared" si="14"/>
        <v>60837</v>
      </c>
      <c r="AF78" s="18">
        <f t="shared" si="14"/>
        <v>22664</v>
      </c>
      <c r="AG78" s="18">
        <f t="shared" si="14"/>
        <v>24833</v>
      </c>
      <c r="AH78" s="18">
        <f t="shared" si="14"/>
        <v>2859</v>
      </c>
      <c r="AI78" s="18">
        <f t="shared" si="14"/>
        <v>3453</v>
      </c>
      <c r="AJ78" s="18">
        <f t="shared" si="14"/>
        <v>0</v>
      </c>
      <c r="AK78" s="18">
        <f t="shared" si="14"/>
        <v>0</v>
      </c>
      <c r="AL78" s="18">
        <f t="shared" si="14"/>
        <v>13560</v>
      </c>
      <c r="AM78" s="18">
        <f t="shared" si="14"/>
        <v>12000</v>
      </c>
      <c r="AN78" s="18">
        <f t="shared" si="14"/>
        <v>0</v>
      </c>
      <c r="AO78" s="18">
        <f t="shared" si="14"/>
        <v>2000</v>
      </c>
      <c r="AP78" s="18">
        <f t="shared" si="14"/>
        <v>583687</v>
      </c>
      <c r="AQ78" s="18">
        <f t="shared" si="14"/>
        <v>560451</v>
      </c>
      <c r="AR78" s="150"/>
      <c r="AS78" s="156">
        <f t="shared" si="11"/>
        <v>-23236</v>
      </c>
      <c r="AT78" s="156">
        <f t="shared" si="12"/>
        <v>-10743</v>
      </c>
      <c r="AU78" s="156">
        <f t="shared" si="13"/>
        <v>-12493</v>
      </c>
    </row>
    <row r="79" spans="1:47" x14ac:dyDescent="0.25">
      <c r="A79" s="4" t="s">
        <v>133</v>
      </c>
      <c r="B79" s="4" t="s">
        <v>56</v>
      </c>
      <c r="C79" s="5" t="s">
        <v>57</v>
      </c>
      <c r="D79" s="151">
        <v>51639</v>
      </c>
      <c r="E79" s="153">
        <v>58952</v>
      </c>
      <c r="F79" s="151">
        <v>1272</v>
      </c>
      <c r="G79" s="153">
        <v>750</v>
      </c>
      <c r="H79" s="151">
        <v>1825</v>
      </c>
      <c r="I79" s="153">
        <v>1580</v>
      </c>
      <c r="J79" s="151">
        <v>152</v>
      </c>
      <c r="K79" s="153">
        <v>140</v>
      </c>
      <c r="L79" s="151">
        <v>1191</v>
      </c>
      <c r="M79" s="153">
        <v>1575</v>
      </c>
      <c r="N79" s="151">
        <v>223</v>
      </c>
      <c r="O79" s="153">
        <v>270</v>
      </c>
      <c r="P79" s="151"/>
      <c r="Q79" s="153"/>
      <c r="R79" s="151">
        <v>3381</v>
      </c>
      <c r="S79" s="153">
        <v>1300</v>
      </c>
      <c r="T79" s="151"/>
      <c r="U79" s="153"/>
      <c r="V79" s="151"/>
      <c r="W79" s="153"/>
      <c r="X79" s="151">
        <v>893</v>
      </c>
      <c r="Y79" s="153">
        <v>890</v>
      </c>
      <c r="Z79" s="61">
        <f t="shared" ref="Z79:AA102" si="15">D79+F79+H79+J79+L79+P79+R79+T79+V79+X79+N79</f>
        <v>60576</v>
      </c>
      <c r="AA79" s="75">
        <f t="shared" si="15"/>
        <v>65457</v>
      </c>
      <c r="AB79" s="151">
        <v>15</v>
      </c>
      <c r="AC79" s="153">
        <v>15</v>
      </c>
      <c r="AD79" s="151">
        <v>7036</v>
      </c>
      <c r="AE79" s="153">
        <v>5500</v>
      </c>
      <c r="AF79" s="151">
        <v>3026</v>
      </c>
      <c r="AG79" s="153">
        <v>2500</v>
      </c>
      <c r="AH79" s="151"/>
      <c r="AI79" s="153"/>
      <c r="AJ79" s="151"/>
      <c r="AK79" s="153"/>
      <c r="AL79" s="151"/>
      <c r="AM79" s="153"/>
      <c r="AN79" s="151"/>
      <c r="AO79" s="153"/>
      <c r="AP79" s="61">
        <f t="shared" ref="AP79:AQ102" si="16">Z79+AB79+AD79+AF79+AH79+AJ79+AL79+AN79</f>
        <v>70653</v>
      </c>
      <c r="AQ79" s="75">
        <f t="shared" si="16"/>
        <v>73472</v>
      </c>
      <c r="AR79" s="150" t="s">
        <v>58</v>
      </c>
      <c r="AS79" s="21">
        <f t="shared" si="11"/>
        <v>2819</v>
      </c>
      <c r="AT79" s="21">
        <f t="shared" si="12"/>
        <v>7313</v>
      </c>
      <c r="AU79" s="21">
        <f t="shared" si="13"/>
        <v>-4494</v>
      </c>
    </row>
    <row r="80" spans="1:47" x14ac:dyDescent="0.25">
      <c r="A80" s="4" t="s">
        <v>133</v>
      </c>
      <c r="B80" s="4" t="s">
        <v>98</v>
      </c>
      <c r="C80" s="5" t="s">
        <v>99</v>
      </c>
      <c r="D80" s="151"/>
      <c r="E80" s="153"/>
      <c r="F80" s="151">
        <v>51</v>
      </c>
      <c r="G80" s="153">
        <v>51</v>
      </c>
      <c r="H80" s="151"/>
      <c r="I80" s="153"/>
      <c r="J80" s="151"/>
      <c r="K80" s="153"/>
      <c r="L80" s="151"/>
      <c r="M80" s="153"/>
      <c r="N80" s="151"/>
      <c r="O80" s="153"/>
      <c r="P80" s="151"/>
      <c r="Q80" s="153"/>
      <c r="R80" s="151">
        <v>708</v>
      </c>
      <c r="S80" s="153">
        <v>700</v>
      </c>
      <c r="T80" s="151"/>
      <c r="U80" s="153"/>
      <c r="V80" s="151"/>
      <c r="W80" s="153"/>
      <c r="X80" s="151"/>
      <c r="Y80" s="153"/>
      <c r="Z80" s="61">
        <f t="shared" si="15"/>
        <v>759</v>
      </c>
      <c r="AA80" s="75">
        <f t="shared" si="15"/>
        <v>751</v>
      </c>
      <c r="AB80" s="151"/>
      <c r="AC80" s="153"/>
      <c r="AD80" s="151">
        <v>108</v>
      </c>
      <c r="AE80" s="153">
        <v>100</v>
      </c>
      <c r="AF80" s="151">
        <v>15</v>
      </c>
      <c r="AG80" s="153">
        <v>15</v>
      </c>
      <c r="AH80" s="151"/>
      <c r="AI80" s="153"/>
      <c r="AJ80" s="151"/>
      <c r="AK80" s="153"/>
      <c r="AL80" s="151"/>
      <c r="AM80" s="153"/>
      <c r="AN80" s="151"/>
      <c r="AO80" s="153"/>
      <c r="AP80" s="61">
        <f t="shared" si="16"/>
        <v>882</v>
      </c>
      <c r="AQ80" s="75">
        <f t="shared" si="16"/>
        <v>866</v>
      </c>
      <c r="AR80" s="150" t="s">
        <v>58</v>
      </c>
      <c r="AS80" s="21">
        <f t="shared" si="11"/>
        <v>-16</v>
      </c>
      <c r="AT80" s="21">
        <f t="shared" si="12"/>
        <v>0</v>
      </c>
      <c r="AU80" s="21">
        <f t="shared" si="13"/>
        <v>-16</v>
      </c>
    </row>
    <row r="81" spans="1:47" ht="26.25" x14ac:dyDescent="0.25">
      <c r="A81" s="4" t="s">
        <v>133</v>
      </c>
      <c r="B81" s="4" t="s">
        <v>134</v>
      </c>
      <c r="C81" s="5" t="s">
        <v>60</v>
      </c>
      <c r="D81" s="151">
        <v>119618</v>
      </c>
      <c r="E81" s="153">
        <v>147018</v>
      </c>
      <c r="F81" s="151">
        <v>28</v>
      </c>
      <c r="G81" s="153">
        <v>168</v>
      </c>
      <c r="H81" s="151">
        <v>7723</v>
      </c>
      <c r="I81" s="153">
        <v>8200</v>
      </c>
      <c r="J81" s="151">
        <v>285</v>
      </c>
      <c r="K81" s="153">
        <v>444</v>
      </c>
      <c r="L81" s="151">
        <v>348</v>
      </c>
      <c r="M81" s="153">
        <v>700</v>
      </c>
      <c r="N81" s="151">
        <v>959</v>
      </c>
      <c r="O81" s="153">
        <v>580</v>
      </c>
      <c r="P81" s="151"/>
      <c r="Q81" s="153"/>
      <c r="R81" s="151">
        <v>4130</v>
      </c>
      <c r="S81" s="153">
        <v>4200</v>
      </c>
      <c r="T81" s="151"/>
      <c r="U81" s="153"/>
      <c r="V81" s="151"/>
      <c r="W81" s="153"/>
      <c r="X81" s="151"/>
      <c r="Y81" s="153"/>
      <c r="Z81" s="61">
        <f t="shared" si="15"/>
        <v>133091</v>
      </c>
      <c r="AA81" s="75">
        <f t="shared" si="15"/>
        <v>161310</v>
      </c>
      <c r="AB81" s="151"/>
      <c r="AC81" s="153"/>
      <c r="AD81" s="151">
        <v>7635</v>
      </c>
      <c r="AE81" s="153">
        <v>7000</v>
      </c>
      <c r="AF81" s="151">
        <v>3270</v>
      </c>
      <c r="AG81" s="153">
        <v>3100</v>
      </c>
      <c r="AH81" s="151"/>
      <c r="AI81" s="153"/>
      <c r="AJ81" s="151"/>
      <c r="AK81" s="153"/>
      <c r="AL81" s="151"/>
      <c r="AM81" s="153"/>
      <c r="AN81" s="151"/>
      <c r="AO81" s="153"/>
      <c r="AP81" s="61">
        <f t="shared" si="16"/>
        <v>143996</v>
      </c>
      <c r="AQ81" s="75">
        <f t="shared" si="16"/>
        <v>171410</v>
      </c>
      <c r="AR81" s="150" t="s">
        <v>61</v>
      </c>
      <c r="AS81" s="21">
        <f t="shared" si="11"/>
        <v>27414</v>
      </c>
      <c r="AT81" s="21">
        <f t="shared" si="12"/>
        <v>27400</v>
      </c>
      <c r="AU81" s="21">
        <f t="shared" si="13"/>
        <v>14</v>
      </c>
    </row>
    <row r="82" spans="1:47" x14ac:dyDescent="0.25">
      <c r="A82" s="4" t="s">
        <v>133</v>
      </c>
      <c r="B82" s="4" t="s">
        <v>135</v>
      </c>
      <c r="C82" s="5" t="s">
        <v>73</v>
      </c>
      <c r="D82" s="151">
        <v>9485</v>
      </c>
      <c r="E82" s="153">
        <v>10115</v>
      </c>
      <c r="F82" s="151">
        <v>87</v>
      </c>
      <c r="G82" s="153">
        <v>80</v>
      </c>
      <c r="H82" s="151"/>
      <c r="I82" s="153"/>
      <c r="J82" s="151"/>
      <c r="K82" s="153"/>
      <c r="L82" s="151">
        <v>378</v>
      </c>
      <c r="M82" s="153">
        <v>380</v>
      </c>
      <c r="N82" s="151">
        <v>62</v>
      </c>
      <c r="O82" s="153">
        <v>60</v>
      </c>
      <c r="P82" s="151">
        <v>537</v>
      </c>
      <c r="Q82" s="153">
        <v>540</v>
      </c>
      <c r="R82" s="151"/>
      <c r="S82" s="153"/>
      <c r="T82" s="151"/>
      <c r="U82" s="153"/>
      <c r="V82" s="151"/>
      <c r="W82" s="153"/>
      <c r="X82" s="151"/>
      <c r="Y82" s="153"/>
      <c r="Z82" s="61">
        <f t="shared" si="15"/>
        <v>10549</v>
      </c>
      <c r="AA82" s="75">
        <f t="shared" si="15"/>
        <v>11175</v>
      </c>
      <c r="AB82" s="151">
        <v>33</v>
      </c>
      <c r="AC82" s="153">
        <v>33</v>
      </c>
      <c r="AD82" s="151">
        <v>527</v>
      </c>
      <c r="AE82" s="153">
        <v>520</v>
      </c>
      <c r="AF82" s="151">
        <v>625</v>
      </c>
      <c r="AG82" s="153">
        <v>590</v>
      </c>
      <c r="AH82" s="151">
        <f>500+508</f>
        <v>1008</v>
      </c>
      <c r="AI82" s="153">
        <v>1276</v>
      </c>
      <c r="AJ82" s="151"/>
      <c r="AK82" s="153"/>
      <c r="AL82" s="151"/>
      <c r="AM82" s="153"/>
      <c r="AN82" s="151"/>
      <c r="AO82" s="153"/>
      <c r="AP82" s="61">
        <f t="shared" si="16"/>
        <v>12742</v>
      </c>
      <c r="AQ82" s="75">
        <f t="shared" si="16"/>
        <v>13594</v>
      </c>
      <c r="AR82" s="150" t="s">
        <v>74</v>
      </c>
      <c r="AS82" s="21">
        <f t="shared" si="11"/>
        <v>852</v>
      </c>
      <c r="AT82" s="21">
        <f t="shared" si="12"/>
        <v>630</v>
      </c>
      <c r="AU82" s="21">
        <f t="shared" si="13"/>
        <v>222</v>
      </c>
    </row>
    <row r="83" spans="1:47" x14ac:dyDescent="0.25">
      <c r="A83" s="4" t="s">
        <v>133</v>
      </c>
      <c r="B83" s="4" t="s">
        <v>136</v>
      </c>
      <c r="C83" s="5" t="s">
        <v>73</v>
      </c>
      <c r="D83" s="151">
        <v>5912</v>
      </c>
      <c r="E83" s="153">
        <v>6407</v>
      </c>
      <c r="F83" s="151">
        <v>57</v>
      </c>
      <c r="G83" s="153">
        <v>80</v>
      </c>
      <c r="H83" s="151">
        <v>569</v>
      </c>
      <c r="I83" s="153">
        <v>540</v>
      </c>
      <c r="J83" s="151">
        <v>8</v>
      </c>
      <c r="K83" s="153">
        <v>8</v>
      </c>
      <c r="L83" s="151">
        <v>263</v>
      </c>
      <c r="M83" s="153">
        <v>220</v>
      </c>
      <c r="N83" s="151">
        <v>28</v>
      </c>
      <c r="O83" s="153">
        <v>30</v>
      </c>
      <c r="P83" s="151"/>
      <c r="Q83" s="153"/>
      <c r="R83" s="151"/>
      <c r="S83" s="153"/>
      <c r="T83" s="151"/>
      <c r="U83" s="153"/>
      <c r="V83" s="151"/>
      <c r="W83" s="153"/>
      <c r="X83" s="151"/>
      <c r="Y83" s="153"/>
      <c r="Z83" s="61">
        <f t="shared" si="15"/>
        <v>6837</v>
      </c>
      <c r="AA83" s="75">
        <f t="shared" si="15"/>
        <v>7285</v>
      </c>
      <c r="AB83" s="151">
        <v>33</v>
      </c>
      <c r="AC83" s="153">
        <v>33</v>
      </c>
      <c r="AD83" s="151">
        <v>340</v>
      </c>
      <c r="AE83" s="153">
        <v>320</v>
      </c>
      <c r="AF83" s="151">
        <v>370</v>
      </c>
      <c r="AG83" s="153">
        <v>350</v>
      </c>
      <c r="AH83" s="151">
        <f>550+800</f>
        <v>1350</v>
      </c>
      <c r="AI83" s="153">
        <v>994</v>
      </c>
      <c r="AJ83" s="151"/>
      <c r="AK83" s="153"/>
      <c r="AL83" s="151"/>
      <c r="AM83" s="153"/>
      <c r="AN83" s="151"/>
      <c r="AO83" s="153"/>
      <c r="AP83" s="61">
        <f t="shared" si="16"/>
        <v>8930</v>
      </c>
      <c r="AQ83" s="75">
        <f t="shared" si="16"/>
        <v>8982</v>
      </c>
      <c r="AR83" s="150" t="s">
        <v>74</v>
      </c>
      <c r="AS83" s="21">
        <f t="shared" si="11"/>
        <v>52</v>
      </c>
      <c r="AT83" s="21">
        <f t="shared" si="12"/>
        <v>495</v>
      </c>
      <c r="AU83" s="21">
        <f t="shared" si="13"/>
        <v>-443</v>
      </c>
    </row>
    <row r="84" spans="1:47" x14ac:dyDescent="0.25">
      <c r="A84" s="4" t="s">
        <v>133</v>
      </c>
      <c r="B84" s="4" t="s">
        <v>77</v>
      </c>
      <c r="C84" s="5" t="s">
        <v>73</v>
      </c>
      <c r="D84" s="151">
        <v>20847</v>
      </c>
      <c r="E84" s="153">
        <v>20941</v>
      </c>
      <c r="F84" s="151">
        <v>84</v>
      </c>
      <c r="G84" s="153">
        <v>25</v>
      </c>
      <c r="H84" s="151">
        <v>3453</v>
      </c>
      <c r="I84" s="153">
        <v>2700</v>
      </c>
      <c r="J84" s="151">
        <v>65</v>
      </c>
      <c r="K84" s="153">
        <v>600</v>
      </c>
      <c r="L84" s="151">
        <v>2451</v>
      </c>
      <c r="M84" s="153">
        <v>2400</v>
      </c>
      <c r="N84" s="151">
        <v>158</v>
      </c>
      <c r="O84" s="153">
        <v>170</v>
      </c>
      <c r="P84" s="151"/>
      <c r="Q84" s="153"/>
      <c r="R84" s="151">
        <v>766</v>
      </c>
      <c r="S84" s="153">
        <v>600</v>
      </c>
      <c r="T84" s="151"/>
      <c r="U84" s="153"/>
      <c r="V84" s="151"/>
      <c r="W84" s="153"/>
      <c r="X84" s="151"/>
      <c r="Y84" s="153"/>
      <c r="Z84" s="61">
        <f t="shared" si="15"/>
        <v>27824</v>
      </c>
      <c r="AA84" s="75">
        <f t="shared" si="15"/>
        <v>27436</v>
      </c>
      <c r="AB84" s="151"/>
      <c r="AC84" s="153"/>
      <c r="AD84" s="151">
        <v>6940</v>
      </c>
      <c r="AE84" s="153">
        <v>4000</v>
      </c>
      <c r="AF84" s="151">
        <v>2888</v>
      </c>
      <c r="AG84" s="153">
        <v>2000</v>
      </c>
      <c r="AH84" s="151"/>
      <c r="AI84" s="153"/>
      <c r="AJ84" s="151"/>
      <c r="AK84" s="153"/>
      <c r="AL84" s="151"/>
      <c r="AM84" s="153"/>
      <c r="AN84" s="151"/>
      <c r="AO84" s="153"/>
      <c r="AP84" s="61">
        <f t="shared" si="16"/>
        <v>37652</v>
      </c>
      <c r="AQ84" s="75">
        <f t="shared" si="16"/>
        <v>33436</v>
      </c>
      <c r="AR84" s="150" t="s">
        <v>74</v>
      </c>
      <c r="AS84" s="21">
        <f t="shared" si="11"/>
        <v>-4216</v>
      </c>
      <c r="AT84" s="21">
        <f t="shared" si="12"/>
        <v>94</v>
      </c>
      <c r="AU84" s="21">
        <f t="shared" si="13"/>
        <v>-4310</v>
      </c>
    </row>
    <row r="85" spans="1:47" x14ac:dyDescent="0.25">
      <c r="A85" s="4" t="s">
        <v>133</v>
      </c>
      <c r="B85" s="4" t="s">
        <v>137</v>
      </c>
      <c r="C85" s="5" t="s">
        <v>73</v>
      </c>
      <c r="D85" s="151"/>
      <c r="E85" s="153"/>
      <c r="F85" s="151"/>
      <c r="G85" s="153"/>
      <c r="H85" s="151"/>
      <c r="I85" s="153"/>
      <c r="J85" s="151"/>
      <c r="K85" s="153"/>
      <c r="L85" s="151">
        <v>38</v>
      </c>
      <c r="M85" s="153">
        <v>33</v>
      </c>
      <c r="N85" s="151"/>
      <c r="O85" s="153"/>
      <c r="P85" s="151">
        <v>459</v>
      </c>
      <c r="Q85" s="153">
        <v>250</v>
      </c>
      <c r="R85" s="151"/>
      <c r="S85" s="153"/>
      <c r="T85" s="151"/>
      <c r="U85" s="153"/>
      <c r="V85" s="151"/>
      <c r="W85" s="153"/>
      <c r="X85" s="151"/>
      <c r="Y85" s="153"/>
      <c r="Z85" s="61">
        <f t="shared" si="15"/>
        <v>497</v>
      </c>
      <c r="AA85" s="75">
        <f t="shared" si="15"/>
        <v>283</v>
      </c>
      <c r="AB85" s="151"/>
      <c r="AC85" s="153"/>
      <c r="AD85" s="151">
        <v>3457</v>
      </c>
      <c r="AE85" s="153">
        <v>2000</v>
      </c>
      <c r="AF85" s="151">
        <v>550</v>
      </c>
      <c r="AG85" s="153">
        <v>300</v>
      </c>
      <c r="AH85" s="151"/>
      <c r="AI85" s="153"/>
      <c r="AJ85" s="151"/>
      <c r="AK85" s="153"/>
      <c r="AL85" s="151"/>
      <c r="AM85" s="153"/>
      <c r="AN85" s="151"/>
      <c r="AO85" s="153"/>
      <c r="AP85" s="61">
        <f t="shared" si="16"/>
        <v>4504</v>
      </c>
      <c r="AQ85" s="75">
        <f t="shared" si="16"/>
        <v>2583</v>
      </c>
      <c r="AR85" s="150" t="s">
        <v>74</v>
      </c>
      <c r="AS85" s="21">
        <f t="shared" si="11"/>
        <v>-1921</v>
      </c>
      <c r="AT85" s="21">
        <f t="shared" si="12"/>
        <v>0</v>
      </c>
      <c r="AU85" s="21">
        <f t="shared" si="13"/>
        <v>-1921</v>
      </c>
    </row>
    <row r="86" spans="1:47" x14ac:dyDescent="0.25">
      <c r="A86" s="4" t="s">
        <v>133</v>
      </c>
      <c r="B86" s="4" t="s">
        <v>138</v>
      </c>
      <c r="C86" s="5" t="s">
        <v>82</v>
      </c>
      <c r="D86" s="151">
        <v>25925</v>
      </c>
      <c r="E86" s="153">
        <v>31975</v>
      </c>
      <c r="F86" s="151">
        <v>280</v>
      </c>
      <c r="G86" s="153">
        <v>320</v>
      </c>
      <c r="H86" s="151">
        <v>3622</v>
      </c>
      <c r="I86" s="153">
        <v>3300</v>
      </c>
      <c r="J86" s="151">
        <v>839</v>
      </c>
      <c r="K86" s="153">
        <v>1030</v>
      </c>
      <c r="L86" s="151">
        <v>2731</v>
      </c>
      <c r="M86" s="153">
        <v>2700</v>
      </c>
      <c r="N86" s="151">
        <v>146</v>
      </c>
      <c r="O86" s="153">
        <v>150</v>
      </c>
      <c r="P86" s="151"/>
      <c r="Q86" s="153"/>
      <c r="R86" s="151">
        <v>1418</v>
      </c>
      <c r="S86" s="153">
        <v>1400</v>
      </c>
      <c r="T86" s="151">
        <v>6018</v>
      </c>
      <c r="U86" s="153">
        <v>5863</v>
      </c>
      <c r="V86" s="151"/>
      <c r="W86" s="153"/>
      <c r="X86" s="151"/>
      <c r="Y86" s="153"/>
      <c r="Z86" s="61">
        <f t="shared" si="15"/>
        <v>40979</v>
      </c>
      <c r="AA86" s="75">
        <f t="shared" si="15"/>
        <v>46738</v>
      </c>
      <c r="AB86" s="151">
        <v>15</v>
      </c>
      <c r="AC86" s="153">
        <v>15</v>
      </c>
      <c r="AD86" s="151">
        <v>4157</v>
      </c>
      <c r="AE86" s="153">
        <v>3600</v>
      </c>
      <c r="AF86" s="151">
        <v>5097</v>
      </c>
      <c r="AG86" s="153">
        <v>4500</v>
      </c>
      <c r="AH86" s="151"/>
      <c r="AI86" s="153"/>
      <c r="AJ86" s="151"/>
      <c r="AK86" s="153"/>
      <c r="AL86" s="151"/>
      <c r="AM86" s="153"/>
      <c r="AN86" s="151"/>
      <c r="AO86" s="153"/>
      <c r="AP86" s="61">
        <f t="shared" si="16"/>
        <v>50248</v>
      </c>
      <c r="AQ86" s="75">
        <f t="shared" si="16"/>
        <v>54853</v>
      </c>
      <c r="AR86" s="150" t="s">
        <v>128</v>
      </c>
      <c r="AS86" s="21">
        <f t="shared" si="11"/>
        <v>4605</v>
      </c>
      <c r="AT86" s="21">
        <f t="shared" si="12"/>
        <v>6050</v>
      </c>
      <c r="AU86" s="21">
        <f t="shared" si="13"/>
        <v>-1445</v>
      </c>
    </row>
    <row r="87" spans="1:47" x14ac:dyDescent="0.25">
      <c r="A87" s="4" t="s">
        <v>133</v>
      </c>
      <c r="B87" s="4" t="s">
        <v>90</v>
      </c>
      <c r="C87" s="5" t="s">
        <v>86</v>
      </c>
      <c r="D87" s="151"/>
      <c r="E87" s="153"/>
      <c r="F87" s="151"/>
      <c r="G87" s="153"/>
      <c r="H87" s="151"/>
      <c r="I87" s="153"/>
      <c r="J87" s="151"/>
      <c r="K87" s="153"/>
      <c r="L87" s="151"/>
      <c r="M87" s="153"/>
      <c r="N87" s="151"/>
      <c r="O87" s="153"/>
      <c r="P87" s="151"/>
      <c r="Q87" s="153"/>
      <c r="R87" s="151"/>
      <c r="S87" s="153"/>
      <c r="T87" s="151">
        <v>234</v>
      </c>
      <c r="U87" s="153">
        <v>234</v>
      </c>
      <c r="V87" s="151"/>
      <c r="W87" s="153"/>
      <c r="X87" s="151"/>
      <c r="Y87" s="153"/>
      <c r="Z87" s="61">
        <f t="shared" si="15"/>
        <v>234</v>
      </c>
      <c r="AA87" s="75">
        <f t="shared" si="15"/>
        <v>234</v>
      </c>
      <c r="AB87" s="151"/>
      <c r="AC87" s="153"/>
      <c r="AD87" s="151"/>
      <c r="AE87" s="153"/>
      <c r="AF87" s="151"/>
      <c r="AG87" s="153"/>
      <c r="AH87" s="151"/>
      <c r="AI87" s="153"/>
      <c r="AJ87" s="151"/>
      <c r="AK87" s="153"/>
      <c r="AL87" s="151"/>
      <c r="AM87" s="153"/>
      <c r="AN87" s="151"/>
      <c r="AO87" s="153"/>
      <c r="AP87" s="61">
        <f t="shared" si="16"/>
        <v>234</v>
      </c>
      <c r="AQ87" s="75">
        <f t="shared" si="16"/>
        <v>234</v>
      </c>
      <c r="AR87" s="150" t="s">
        <v>139</v>
      </c>
      <c r="AS87" s="21">
        <f t="shared" si="11"/>
        <v>0</v>
      </c>
      <c r="AT87" s="21">
        <f t="shared" si="12"/>
        <v>0</v>
      </c>
      <c r="AU87" s="21">
        <f t="shared" si="13"/>
        <v>0</v>
      </c>
    </row>
    <row r="88" spans="1:47" ht="26.25" x14ac:dyDescent="0.25">
      <c r="A88" s="4" t="s">
        <v>133</v>
      </c>
      <c r="B88" s="4" t="s">
        <v>83</v>
      </c>
      <c r="C88" s="5" t="s">
        <v>82</v>
      </c>
      <c r="D88" s="151">
        <f>25761+463</f>
        <v>26224</v>
      </c>
      <c r="E88" s="153">
        <v>29375</v>
      </c>
      <c r="F88" s="151"/>
      <c r="G88" s="153"/>
      <c r="H88" s="151"/>
      <c r="I88" s="153"/>
      <c r="J88" s="151"/>
      <c r="K88" s="153"/>
      <c r="L88" s="151"/>
      <c r="M88" s="153"/>
      <c r="N88" s="151"/>
      <c r="O88" s="153"/>
      <c r="P88" s="151"/>
      <c r="Q88" s="153"/>
      <c r="R88" s="151"/>
      <c r="S88" s="153"/>
      <c r="T88" s="151"/>
      <c r="U88" s="153"/>
      <c r="V88" s="151"/>
      <c r="W88" s="153"/>
      <c r="X88" s="151"/>
      <c r="Y88" s="153"/>
      <c r="Z88" s="61">
        <f t="shared" si="15"/>
        <v>26224</v>
      </c>
      <c r="AA88" s="75">
        <f t="shared" si="15"/>
        <v>29375</v>
      </c>
      <c r="AB88" s="151"/>
      <c r="AC88" s="153"/>
      <c r="AD88" s="151"/>
      <c r="AE88" s="153"/>
      <c r="AF88" s="151"/>
      <c r="AG88" s="153"/>
      <c r="AH88" s="151"/>
      <c r="AI88" s="153"/>
      <c r="AJ88" s="151"/>
      <c r="AK88" s="153"/>
      <c r="AL88" s="151"/>
      <c r="AM88" s="153"/>
      <c r="AN88" s="151"/>
      <c r="AO88" s="153"/>
      <c r="AP88" s="61">
        <f t="shared" si="16"/>
        <v>26224</v>
      </c>
      <c r="AQ88" s="75">
        <f t="shared" si="16"/>
        <v>29375</v>
      </c>
      <c r="AR88" s="150" t="s">
        <v>140</v>
      </c>
      <c r="AS88" s="21">
        <f t="shared" si="11"/>
        <v>3151</v>
      </c>
      <c r="AT88" s="21">
        <f t="shared" si="12"/>
        <v>3151</v>
      </c>
      <c r="AU88" s="21">
        <f t="shared" si="13"/>
        <v>0</v>
      </c>
    </row>
    <row r="89" spans="1:47" x14ac:dyDescent="0.25">
      <c r="A89" s="4" t="s">
        <v>133</v>
      </c>
      <c r="B89" s="4" t="s">
        <v>85</v>
      </c>
      <c r="C89" s="5" t="s">
        <v>86</v>
      </c>
      <c r="D89" s="151">
        <v>9843</v>
      </c>
      <c r="E89" s="153">
        <v>10189</v>
      </c>
      <c r="F89" s="151">
        <v>852</v>
      </c>
      <c r="G89" s="153">
        <v>350</v>
      </c>
      <c r="H89" s="151"/>
      <c r="I89" s="153">
        <v>7600</v>
      </c>
      <c r="J89" s="151">
        <v>828</v>
      </c>
      <c r="K89" s="153">
        <v>800</v>
      </c>
      <c r="L89" s="151">
        <v>6394</v>
      </c>
      <c r="M89" s="153">
        <v>5400</v>
      </c>
      <c r="N89" s="151">
        <v>515</v>
      </c>
      <c r="O89" s="153">
        <v>530</v>
      </c>
      <c r="P89" s="151">
        <v>2289</v>
      </c>
      <c r="Q89" s="153"/>
      <c r="R89" s="151">
        <v>700</v>
      </c>
      <c r="S89" s="153">
        <v>500</v>
      </c>
      <c r="T89" s="151">
        <v>2331</v>
      </c>
      <c r="U89" s="153">
        <v>2883</v>
      </c>
      <c r="V89" s="151"/>
      <c r="W89" s="153"/>
      <c r="X89" s="151"/>
      <c r="Y89" s="153"/>
      <c r="Z89" s="61">
        <f t="shared" si="15"/>
        <v>23752</v>
      </c>
      <c r="AA89" s="75">
        <f t="shared" si="15"/>
        <v>28252</v>
      </c>
      <c r="AB89" s="151">
        <v>170</v>
      </c>
      <c r="AC89" s="153">
        <v>170</v>
      </c>
      <c r="AD89" s="151">
        <v>10844</v>
      </c>
      <c r="AE89" s="153">
        <v>10000</v>
      </c>
      <c r="AF89" s="151">
        <v>10200</v>
      </c>
      <c r="AG89" s="153">
        <v>9600</v>
      </c>
      <c r="AH89" s="151">
        <v>240</v>
      </c>
      <c r="AI89" s="153">
        <v>240</v>
      </c>
      <c r="AJ89" s="151"/>
      <c r="AK89" s="153"/>
      <c r="AL89" s="151"/>
      <c r="AM89" s="153"/>
      <c r="AN89" s="151"/>
      <c r="AO89" s="153"/>
      <c r="AP89" s="61">
        <f t="shared" si="16"/>
        <v>45206</v>
      </c>
      <c r="AQ89" s="75">
        <f t="shared" si="16"/>
        <v>48262</v>
      </c>
      <c r="AR89" s="150" t="s">
        <v>128</v>
      </c>
      <c r="AS89" s="21">
        <f t="shared" si="11"/>
        <v>3056</v>
      </c>
      <c r="AT89" s="21">
        <f t="shared" si="12"/>
        <v>346</v>
      </c>
      <c r="AU89" s="21">
        <f t="shared" si="13"/>
        <v>2710</v>
      </c>
    </row>
    <row r="90" spans="1:47" ht="26.25" x14ac:dyDescent="0.25">
      <c r="A90" s="4" t="s">
        <v>133</v>
      </c>
      <c r="B90" s="4" t="s">
        <v>87</v>
      </c>
      <c r="C90" s="5" t="s">
        <v>86</v>
      </c>
      <c r="D90" s="151">
        <v>4596</v>
      </c>
      <c r="E90" s="153">
        <v>13812</v>
      </c>
      <c r="F90" s="151"/>
      <c r="G90" s="153"/>
      <c r="H90" s="151"/>
      <c r="I90" s="153"/>
      <c r="J90" s="151"/>
      <c r="K90" s="153"/>
      <c r="L90" s="151"/>
      <c r="M90" s="153"/>
      <c r="N90" s="151"/>
      <c r="O90" s="153"/>
      <c r="P90" s="151"/>
      <c r="Q90" s="153"/>
      <c r="R90" s="151"/>
      <c r="S90" s="153"/>
      <c r="T90" s="151"/>
      <c r="U90" s="153"/>
      <c r="V90" s="151"/>
      <c r="W90" s="153"/>
      <c r="X90" s="151"/>
      <c r="Y90" s="153"/>
      <c r="Z90" s="61">
        <f t="shared" si="15"/>
        <v>4596</v>
      </c>
      <c r="AA90" s="75">
        <f t="shared" si="15"/>
        <v>13812</v>
      </c>
      <c r="AB90" s="151"/>
      <c r="AC90" s="153"/>
      <c r="AD90" s="151"/>
      <c r="AE90" s="153"/>
      <c r="AF90" s="151"/>
      <c r="AG90" s="153"/>
      <c r="AH90" s="151"/>
      <c r="AI90" s="153"/>
      <c r="AJ90" s="151"/>
      <c r="AK90" s="153"/>
      <c r="AL90" s="151"/>
      <c r="AM90" s="153"/>
      <c r="AN90" s="151"/>
      <c r="AO90" s="153"/>
      <c r="AP90" s="61">
        <f t="shared" si="16"/>
        <v>4596</v>
      </c>
      <c r="AQ90" s="75">
        <f t="shared" si="16"/>
        <v>13812</v>
      </c>
      <c r="AR90" s="150" t="s">
        <v>128</v>
      </c>
      <c r="AS90" s="21">
        <f t="shared" si="11"/>
        <v>9216</v>
      </c>
      <c r="AT90" s="21">
        <f t="shared" si="12"/>
        <v>9216</v>
      </c>
      <c r="AU90" s="21">
        <f t="shared" si="13"/>
        <v>0</v>
      </c>
    </row>
    <row r="91" spans="1:47" ht="26.25" x14ac:dyDescent="0.25">
      <c r="A91" s="4" t="s">
        <v>133</v>
      </c>
      <c r="B91" s="4" t="s">
        <v>88</v>
      </c>
      <c r="C91" s="5" t="s">
        <v>86</v>
      </c>
      <c r="D91" s="151"/>
      <c r="E91" s="153"/>
      <c r="F91" s="151"/>
      <c r="G91" s="153"/>
      <c r="H91" s="151"/>
      <c r="I91" s="153"/>
      <c r="J91" s="151"/>
      <c r="K91" s="153"/>
      <c r="L91" s="151"/>
      <c r="M91" s="153"/>
      <c r="N91" s="151"/>
      <c r="O91" s="153"/>
      <c r="P91" s="151"/>
      <c r="Q91" s="153"/>
      <c r="R91" s="151"/>
      <c r="S91" s="153"/>
      <c r="T91" s="151">
        <v>2658</v>
      </c>
      <c r="U91" s="153">
        <v>2113</v>
      </c>
      <c r="V91" s="151"/>
      <c r="W91" s="153"/>
      <c r="X91" s="151"/>
      <c r="Y91" s="153"/>
      <c r="Z91" s="61">
        <f t="shared" si="15"/>
        <v>2658</v>
      </c>
      <c r="AA91" s="75">
        <f t="shared" si="15"/>
        <v>2113</v>
      </c>
      <c r="AB91" s="151"/>
      <c r="AC91" s="153"/>
      <c r="AD91" s="151"/>
      <c r="AE91" s="153"/>
      <c r="AF91" s="151"/>
      <c r="AG91" s="153"/>
      <c r="AH91" s="151"/>
      <c r="AI91" s="153"/>
      <c r="AJ91" s="151"/>
      <c r="AK91" s="153"/>
      <c r="AL91" s="151"/>
      <c r="AM91" s="153"/>
      <c r="AN91" s="151"/>
      <c r="AO91" s="153"/>
      <c r="AP91" s="61">
        <f t="shared" si="16"/>
        <v>2658</v>
      </c>
      <c r="AQ91" s="75">
        <f t="shared" si="16"/>
        <v>2113</v>
      </c>
      <c r="AR91" s="150" t="s">
        <v>128</v>
      </c>
      <c r="AS91" s="21">
        <f t="shared" si="11"/>
        <v>-545</v>
      </c>
      <c r="AT91" s="21">
        <f t="shared" si="12"/>
        <v>0</v>
      </c>
      <c r="AU91" s="21">
        <f t="shared" si="13"/>
        <v>-545</v>
      </c>
    </row>
    <row r="92" spans="1:47" ht="30" x14ac:dyDescent="0.25">
      <c r="A92" s="4" t="s">
        <v>133</v>
      </c>
      <c r="B92" s="4" t="s">
        <v>118</v>
      </c>
      <c r="C92" s="5" t="s">
        <v>119</v>
      </c>
      <c r="D92" s="151">
        <v>107229</v>
      </c>
      <c r="E92" s="153">
        <v>153721</v>
      </c>
      <c r="F92" s="151">
        <v>403</v>
      </c>
      <c r="G92" s="153">
        <v>580</v>
      </c>
      <c r="H92" s="151"/>
      <c r="I92" s="153"/>
      <c r="J92" s="151">
        <v>2338</v>
      </c>
      <c r="K92" s="153">
        <v>4019</v>
      </c>
      <c r="L92" s="151">
        <v>9206</v>
      </c>
      <c r="M92" s="153">
        <v>9144</v>
      </c>
      <c r="N92" s="151">
        <v>1188</v>
      </c>
      <c r="O92" s="153">
        <v>1085</v>
      </c>
      <c r="P92" s="151">
        <v>1620</v>
      </c>
      <c r="Q92" s="153">
        <v>1400</v>
      </c>
      <c r="R92" s="151">
        <v>1900</v>
      </c>
      <c r="S92" s="153">
        <v>2000</v>
      </c>
      <c r="T92" s="151">
        <v>34800</v>
      </c>
      <c r="U92" s="153">
        <v>35880</v>
      </c>
      <c r="V92" s="151"/>
      <c r="W92" s="153"/>
      <c r="X92" s="151"/>
      <c r="Y92" s="153"/>
      <c r="Z92" s="61">
        <f t="shared" si="15"/>
        <v>158684</v>
      </c>
      <c r="AA92" s="75">
        <f t="shared" si="15"/>
        <v>207829</v>
      </c>
      <c r="AB92" s="151">
        <v>15</v>
      </c>
      <c r="AC92" s="153">
        <v>15</v>
      </c>
      <c r="AD92" s="151">
        <v>8060</v>
      </c>
      <c r="AE92" s="153">
        <v>10495</v>
      </c>
      <c r="AF92" s="151">
        <v>17821</v>
      </c>
      <c r="AG92" s="153">
        <v>22170</v>
      </c>
      <c r="AH92" s="151"/>
      <c r="AI92" s="153"/>
      <c r="AJ92" s="151"/>
      <c r="AK92" s="153"/>
      <c r="AL92" s="151"/>
      <c r="AM92" s="153"/>
      <c r="AN92" s="151"/>
      <c r="AO92" s="153"/>
      <c r="AP92" s="61">
        <f t="shared" si="16"/>
        <v>184580</v>
      </c>
      <c r="AQ92" s="75">
        <f t="shared" si="16"/>
        <v>240509</v>
      </c>
      <c r="AR92" s="150" t="s">
        <v>141</v>
      </c>
      <c r="AS92" s="21">
        <f t="shared" si="11"/>
        <v>55929</v>
      </c>
      <c r="AT92" s="21">
        <f t="shared" si="12"/>
        <v>46492</v>
      </c>
      <c r="AU92" s="21">
        <f t="shared" si="13"/>
        <v>9437</v>
      </c>
    </row>
    <row r="93" spans="1:47" ht="39" x14ac:dyDescent="0.25">
      <c r="A93" s="4" t="s">
        <v>133</v>
      </c>
      <c r="B93" s="4" t="s">
        <v>120</v>
      </c>
      <c r="C93" s="5" t="s">
        <v>119</v>
      </c>
      <c r="D93" s="151">
        <v>5305</v>
      </c>
      <c r="E93" s="153">
        <v>5305</v>
      </c>
      <c r="F93" s="151"/>
      <c r="G93" s="153"/>
      <c r="H93" s="151"/>
      <c r="I93" s="153"/>
      <c r="J93" s="151"/>
      <c r="K93" s="153"/>
      <c r="L93" s="151"/>
      <c r="M93" s="153"/>
      <c r="N93" s="151"/>
      <c r="O93" s="153"/>
      <c r="P93" s="151"/>
      <c r="Q93" s="153"/>
      <c r="R93" s="151"/>
      <c r="S93" s="153"/>
      <c r="T93" s="151"/>
      <c r="U93" s="153"/>
      <c r="V93" s="151"/>
      <c r="W93" s="153"/>
      <c r="X93" s="151"/>
      <c r="Y93" s="153"/>
      <c r="Z93" s="61">
        <f t="shared" si="15"/>
        <v>5305</v>
      </c>
      <c r="AA93" s="75">
        <f t="shared" si="15"/>
        <v>5305</v>
      </c>
      <c r="AB93" s="151"/>
      <c r="AC93" s="153"/>
      <c r="AD93" s="151"/>
      <c r="AE93" s="153"/>
      <c r="AF93" s="151"/>
      <c r="AG93" s="153"/>
      <c r="AH93" s="151"/>
      <c r="AI93" s="153"/>
      <c r="AJ93" s="151"/>
      <c r="AK93" s="153"/>
      <c r="AL93" s="151"/>
      <c r="AM93" s="153"/>
      <c r="AN93" s="151"/>
      <c r="AO93" s="153"/>
      <c r="AP93" s="61">
        <f t="shared" si="16"/>
        <v>5305</v>
      </c>
      <c r="AQ93" s="75">
        <f t="shared" si="16"/>
        <v>5305</v>
      </c>
      <c r="AR93" s="150" t="s">
        <v>102</v>
      </c>
      <c r="AS93" s="21">
        <f t="shared" si="11"/>
        <v>0</v>
      </c>
      <c r="AT93" s="21">
        <f t="shared" si="12"/>
        <v>0</v>
      </c>
      <c r="AU93" s="21">
        <f t="shared" si="13"/>
        <v>0</v>
      </c>
    </row>
    <row r="94" spans="1:47" ht="30" x14ac:dyDescent="0.25">
      <c r="A94" s="4" t="s">
        <v>133</v>
      </c>
      <c r="B94" s="4" t="s">
        <v>121</v>
      </c>
      <c r="C94" s="5" t="s">
        <v>119</v>
      </c>
      <c r="D94" s="151">
        <v>2893</v>
      </c>
      <c r="E94" s="153">
        <v>2893</v>
      </c>
      <c r="F94" s="151"/>
      <c r="G94" s="153"/>
      <c r="H94" s="151"/>
      <c r="I94" s="153"/>
      <c r="J94" s="151"/>
      <c r="K94" s="153"/>
      <c r="L94" s="151"/>
      <c r="M94" s="153"/>
      <c r="N94" s="151"/>
      <c r="O94" s="153"/>
      <c r="P94" s="151"/>
      <c r="Q94" s="153"/>
      <c r="R94" s="151"/>
      <c r="S94" s="153"/>
      <c r="T94" s="151"/>
      <c r="U94" s="153"/>
      <c r="V94" s="151"/>
      <c r="W94" s="153"/>
      <c r="X94" s="151"/>
      <c r="Y94" s="153"/>
      <c r="Z94" s="61">
        <f t="shared" si="15"/>
        <v>2893</v>
      </c>
      <c r="AA94" s="75">
        <f t="shared" si="15"/>
        <v>2893</v>
      </c>
      <c r="AB94" s="151"/>
      <c r="AC94" s="153"/>
      <c r="AD94" s="151"/>
      <c r="AE94" s="153"/>
      <c r="AF94" s="151"/>
      <c r="AG94" s="153"/>
      <c r="AH94" s="151"/>
      <c r="AI94" s="153"/>
      <c r="AJ94" s="151"/>
      <c r="AK94" s="153"/>
      <c r="AL94" s="151"/>
      <c r="AM94" s="153"/>
      <c r="AN94" s="151"/>
      <c r="AO94" s="153"/>
      <c r="AP94" s="61">
        <f t="shared" si="16"/>
        <v>2893</v>
      </c>
      <c r="AQ94" s="75">
        <f t="shared" si="16"/>
        <v>2893</v>
      </c>
      <c r="AR94" s="150" t="s">
        <v>142</v>
      </c>
      <c r="AS94" s="21">
        <f t="shared" si="11"/>
        <v>0</v>
      </c>
      <c r="AT94" s="21">
        <f t="shared" si="12"/>
        <v>0</v>
      </c>
      <c r="AU94" s="21">
        <f t="shared" si="13"/>
        <v>0</v>
      </c>
    </row>
    <row r="95" spans="1:47" x14ac:dyDescent="0.25">
      <c r="A95" s="4" t="s">
        <v>133</v>
      </c>
      <c r="B95" s="4" t="s">
        <v>143</v>
      </c>
      <c r="C95" s="5" t="s">
        <v>70</v>
      </c>
      <c r="D95" s="151">
        <v>849</v>
      </c>
      <c r="E95" s="153">
        <v>890</v>
      </c>
      <c r="F95" s="151"/>
      <c r="G95" s="153"/>
      <c r="H95" s="151"/>
      <c r="I95" s="153"/>
      <c r="J95" s="151"/>
      <c r="K95" s="153"/>
      <c r="L95" s="151"/>
      <c r="M95" s="153"/>
      <c r="N95" s="151">
        <v>52</v>
      </c>
      <c r="O95" s="153"/>
      <c r="P95" s="151"/>
      <c r="Q95" s="153"/>
      <c r="R95" s="151"/>
      <c r="S95" s="153"/>
      <c r="T95" s="151"/>
      <c r="U95" s="153"/>
      <c r="V95" s="151"/>
      <c r="W95" s="153"/>
      <c r="X95" s="151">
        <v>50</v>
      </c>
      <c r="Y95" s="153"/>
      <c r="Z95" s="61">
        <f t="shared" si="15"/>
        <v>951</v>
      </c>
      <c r="AA95" s="75">
        <f t="shared" si="15"/>
        <v>890</v>
      </c>
      <c r="AB95" s="151"/>
      <c r="AC95" s="153"/>
      <c r="AD95" s="151">
        <v>709</v>
      </c>
      <c r="AE95" s="153">
        <v>600</v>
      </c>
      <c r="AF95" s="151">
        <v>500</v>
      </c>
      <c r="AG95" s="153">
        <v>450</v>
      </c>
      <c r="AH95" s="151"/>
      <c r="AI95" s="153"/>
      <c r="AJ95" s="151"/>
      <c r="AK95" s="153"/>
      <c r="AL95" s="151"/>
      <c r="AM95" s="153"/>
      <c r="AN95" s="151"/>
      <c r="AO95" s="153"/>
      <c r="AP95" s="61">
        <f t="shared" si="16"/>
        <v>2160</v>
      </c>
      <c r="AQ95" s="75">
        <f t="shared" si="16"/>
        <v>1940</v>
      </c>
      <c r="AR95" s="150" t="s">
        <v>71</v>
      </c>
      <c r="AS95" s="21">
        <f t="shared" si="11"/>
        <v>-220</v>
      </c>
      <c r="AT95" s="21">
        <f t="shared" si="12"/>
        <v>41</v>
      </c>
      <c r="AU95" s="21">
        <f t="shared" si="13"/>
        <v>-261</v>
      </c>
    </row>
    <row r="96" spans="1:47" x14ac:dyDescent="0.25">
      <c r="A96" s="4" t="s">
        <v>133</v>
      </c>
      <c r="B96" s="4" t="s">
        <v>97</v>
      </c>
      <c r="C96" s="5" t="s">
        <v>96</v>
      </c>
      <c r="D96" s="151"/>
      <c r="E96" s="153"/>
      <c r="F96" s="151">
        <v>5</v>
      </c>
      <c r="G96" s="153">
        <v>5</v>
      </c>
      <c r="H96" s="151"/>
      <c r="I96" s="153"/>
      <c r="J96" s="151"/>
      <c r="K96" s="153"/>
      <c r="L96" s="151"/>
      <c r="M96" s="153"/>
      <c r="N96" s="151"/>
      <c r="O96" s="153"/>
      <c r="P96" s="151"/>
      <c r="Q96" s="153"/>
      <c r="R96" s="151">
        <v>6447</v>
      </c>
      <c r="S96" s="153">
        <v>6000</v>
      </c>
      <c r="T96" s="151"/>
      <c r="U96" s="153"/>
      <c r="V96" s="151">
        <v>4900</v>
      </c>
      <c r="W96" s="153">
        <v>3900</v>
      </c>
      <c r="X96" s="151"/>
      <c r="Y96" s="153"/>
      <c r="Z96" s="61">
        <f t="shared" si="15"/>
        <v>11352</v>
      </c>
      <c r="AA96" s="75">
        <f t="shared" si="15"/>
        <v>9905</v>
      </c>
      <c r="AB96" s="151"/>
      <c r="AC96" s="153"/>
      <c r="AD96" s="151"/>
      <c r="AE96" s="153"/>
      <c r="AF96" s="151"/>
      <c r="AG96" s="153"/>
      <c r="AH96" s="151"/>
      <c r="AI96" s="153"/>
      <c r="AJ96" s="151"/>
      <c r="AK96" s="153"/>
      <c r="AL96" s="151"/>
      <c r="AM96" s="153"/>
      <c r="AN96" s="151"/>
      <c r="AO96" s="153"/>
      <c r="AP96" s="61">
        <f t="shared" si="16"/>
        <v>11352</v>
      </c>
      <c r="AQ96" s="75">
        <f t="shared" si="16"/>
        <v>9905</v>
      </c>
      <c r="AR96" s="150" t="s">
        <v>128</v>
      </c>
      <c r="AS96" s="21">
        <f t="shared" si="11"/>
        <v>-1447</v>
      </c>
      <c r="AT96" s="21">
        <f t="shared" si="12"/>
        <v>0</v>
      </c>
      <c r="AU96" s="21">
        <f t="shared" si="13"/>
        <v>-1447</v>
      </c>
    </row>
    <row r="97" spans="1:47" ht="26.25" x14ac:dyDescent="0.25">
      <c r="A97" s="4" t="s">
        <v>133</v>
      </c>
      <c r="B97" s="4" t="s">
        <v>145</v>
      </c>
      <c r="C97" s="5" t="s">
        <v>96</v>
      </c>
      <c r="D97" s="151">
        <v>13223</v>
      </c>
      <c r="E97" s="153">
        <v>14831</v>
      </c>
      <c r="F97" s="151"/>
      <c r="G97" s="153"/>
      <c r="H97" s="151"/>
      <c r="I97" s="153"/>
      <c r="J97" s="151"/>
      <c r="K97" s="153"/>
      <c r="L97" s="151"/>
      <c r="M97" s="153"/>
      <c r="N97" s="151"/>
      <c r="O97" s="153"/>
      <c r="P97" s="151"/>
      <c r="Q97" s="153"/>
      <c r="R97" s="151"/>
      <c r="S97" s="153"/>
      <c r="T97" s="151"/>
      <c r="U97" s="153"/>
      <c r="V97" s="151"/>
      <c r="W97" s="153"/>
      <c r="X97" s="151"/>
      <c r="Y97" s="153"/>
      <c r="Z97" s="61">
        <f t="shared" si="15"/>
        <v>13223</v>
      </c>
      <c r="AA97" s="75">
        <f t="shared" si="15"/>
        <v>14831</v>
      </c>
      <c r="AB97" s="151"/>
      <c r="AC97" s="153"/>
      <c r="AD97" s="151"/>
      <c r="AE97" s="153"/>
      <c r="AF97" s="151"/>
      <c r="AG97" s="153"/>
      <c r="AH97" s="151"/>
      <c r="AI97" s="153"/>
      <c r="AJ97" s="151"/>
      <c r="AK97" s="153"/>
      <c r="AL97" s="151"/>
      <c r="AM97" s="153"/>
      <c r="AN97" s="151"/>
      <c r="AO97" s="153"/>
      <c r="AP97" s="61">
        <f t="shared" si="16"/>
        <v>13223</v>
      </c>
      <c r="AQ97" s="75">
        <f t="shared" si="16"/>
        <v>14831</v>
      </c>
      <c r="AR97" s="150" t="s">
        <v>128</v>
      </c>
      <c r="AS97" s="21">
        <f t="shared" si="11"/>
        <v>1608</v>
      </c>
      <c r="AT97" s="21">
        <f t="shared" si="12"/>
        <v>1608</v>
      </c>
      <c r="AU97" s="21">
        <f t="shared" si="13"/>
        <v>0</v>
      </c>
    </row>
    <row r="98" spans="1:47" x14ac:dyDescent="0.25">
      <c r="A98" s="4" t="s">
        <v>133</v>
      </c>
      <c r="B98" s="4" t="s">
        <v>146</v>
      </c>
      <c r="C98" s="5" t="s">
        <v>79</v>
      </c>
      <c r="D98" s="151">
        <v>5941</v>
      </c>
      <c r="E98" s="153">
        <v>6199</v>
      </c>
      <c r="F98" s="151"/>
      <c r="G98" s="153"/>
      <c r="H98" s="151"/>
      <c r="I98" s="153"/>
      <c r="J98" s="151"/>
      <c r="K98" s="153"/>
      <c r="L98" s="151"/>
      <c r="M98" s="153"/>
      <c r="N98" s="151"/>
      <c r="O98" s="153"/>
      <c r="P98" s="151"/>
      <c r="Q98" s="153"/>
      <c r="R98" s="151"/>
      <c r="S98" s="153"/>
      <c r="T98" s="151"/>
      <c r="U98" s="153"/>
      <c r="V98" s="151"/>
      <c r="W98" s="153"/>
      <c r="X98" s="151"/>
      <c r="Y98" s="153"/>
      <c r="Z98" s="61">
        <f t="shared" si="15"/>
        <v>5941</v>
      </c>
      <c r="AA98" s="75">
        <f t="shared" si="15"/>
        <v>6199</v>
      </c>
      <c r="AB98" s="151"/>
      <c r="AC98" s="153"/>
      <c r="AD98" s="151"/>
      <c r="AE98" s="153"/>
      <c r="AF98" s="151"/>
      <c r="AG98" s="153"/>
      <c r="AH98" s="151"/>
      <c r="AI98" s="153"/>
      <c r="AJ98" s="151"/>
      <c r="AK98" s="153"/>
      <c r="AL98" s="151"/>
      <c r="AM98" s="153"/>
      <c r="AN98" s="151"/>
      <c r="AO98" s="153"/>
      <c r="AP98" s="61">
        <f t="shared" si="16"/>
        <v>5941</v>
      </c>
      <c r="AQ98" s="75">
        <f t="shared" si="16"/>
        <v>6199</v>
      </c>
      <c r="AR98" s="150" t="s">
        <v>128</v>
      </c>
      <c r="AS98" s="21">
        <f t="shared" si="11"/>
        <v>258</v>
      </c>
      <c r="AT98" s="21">
        <f t="shared" si="12"/>
        <v>258</v>
      </c>
      <c r="AU98" s="21">
        <f t="shared" si="13"/>
        <v>0</v>
      </c>
    </row>
    <row r="99" spans="1:47" ht="30" x14ac:dyDescent="0.25">
      <c r="A99" s="4" t="s">
        <v>133</v>
      </c>
      <c r="B99" s="4" t="s">
        <v>100</v>
      </c>
      <c r="C99" s="5" t="s">
        <v>101</v>
      </c>
      <c r="D99" s="151"/>
      <c r="E99" s="153"/>
      <c r="F99" s="151"/>
      <c r="G99" s="153"/>
      <c r="H99" s="151"/>
      <c r="I99" s="153"/>
      <c r="J99" s="151"/>
      <c r="K99" s="153"/>
      <c r="L99" s="151"/>
      <c r="M99" s="153"/>
      <c r="N99" s="151"/>
      <c r="O99" s="153"/>
      <c r="P99" s="151"/>
      <c r="Q99" s="153"/>
      <c r="R99" s="151"/>
      <c r="S99" s="153"/>
      <c r="T99" s="151"/>
      <c r="U99" s="153"/>
      <c r="V99" s="151"/>
      <c r="W99" s="153"/>
      <c r="X99" s="151"/>
      <c r="Y99" s="153"/>
      <c r="Z99" s="61">
        <f t="shared" si="15"/>
        <v>0</v>
      </c>
      <c r="AA99" s="75">
        <f t="shared" si="15"/>
        <v>0</v>
      </c>
      <c r="AB99" s="151"/>
      <c r="AC99" s="153"/>
      <c r="AD99" s="151"/>
      <c r="AE99" s="153"/>
      <c r="AF99" s="151"/>
      <c r="AG99" s="153"/>
      <c r="AH99" s="151"/>
      <c r="AI99" s="153"/>
      <c r="AJ99" s="151"/>
      <c r="AK99" s="153"/>
      <c r="AL99" s="151">
        <v>10914</v>
      </c>
      <c r="AM99" s="153">
        <v>10900</v>
      </c>
      <c r="AN99" s="151"/>
      <c r="AO99" s="153"/>
      <c r="AP99" s="61">
        <f t="shared" si="16"/>
        <v>10914</v>
      </c>
      <c r="AQ99" s="75">
        <f t="shared" si="16"/>
        <v>10900</v>
      </c>
      <c r="AR99" s="150" t="s">
        <v>102</v>
      </c>
      <c r="AS99" s="21">
        <f t="shared" si="11"/>
        <v>-14</v>
      </c>
      <c r="AT99" s="21">
        <f t="shared" si="12"/>
        <v>0</v>
      </c>
      <c r="AU99" s="21">
        <f t="shared" si="13"/>
        <v>-14</v>
      </c>
    </row>
    <row r="100" spans="1:47" x14ac:dyDescent="0.25">
      <c r="A100" s="4" t="s">
        <v>133</v>
      </c>
      <c r="B100" s="4" t="s">
        <v>105</v>
      </c>
      <c r="C100" s="5"/>
      <c r="D100" s="151">
        <v>8313</v>
      </c>
      <c r="E100" s="153">
        <v>10473</v>
      </c>
      <c r="F100" s="151"/>
      <c r="G100" s="153"/>
      <c r="H100" s="151"/>
      <c r="I100" s="153"/>
      <c r="J100" s="151"/>
      <c r="K100" s="153"/>
      <c r="L100" s="151"/>
      <c r="M100" s="153"/>
      <c r="N100" s="151"/>
      <c r="O100" s="153"/>
      <c r="P100" s="151"/>
      <c r="Q100" s="153"/>
      <c r="R100" s="151"/>
      <c r="S100" s="153"/>
      <c r="T100" s="151"/>
      <c r="U100" s="153"/>
      <c r="V100" s="151"/>
      <c r="W100" s="153"/>
      <c r="X100" s="151"/>
      <c r="Y100" s="153"/>
      <c r="Z100" s="61">
        <f t="shared" si="15"/>
        <v>8313</v>
      </c>
      <c r="AA100" s="75">
        <f t="shared" si="15"/>
        <v>10473</v>
      </c>
      <c r="AB100" s="151"/>
      <c r="AC100" s="153"/>
      <c r="AD100" s="151"/>
      <c r="AE100" s="153"/>
      <c r="AF100" s="151"/>
      <c r="AG100" s="153"/>
      <c r="AH100" s="151"/>
      <c r="AI100" s="153"/>
      <c r="AJ100" s="151"/>
      <c r="AK100" s="153"/>
      <c r="AL100" s="151"/>
      <c r="AM100" s="153"/>
      <c r="AN100" s="151"/>
      <c r="AO100" s="153"/>
      <c r="AP100" s="61">
        <f t="shared" si="16"/>
        <v>8313</v>
      </c>
      <c r="AQ100" s="75">
        <f t="shared" si="16"/>
        <v>10473</v>
      </c>
      <c r="AR100" s="150" t="s">
        <v>58</v>
      </c>
      <c r="AS100" s="21">
        <f t="shared" si="11"/>
        <v>2160</v>
      </c>
      <c r="AT100" s="21">
        <f t="shared" si="12"/>
        <v>2160</v>
      </c>
      <c r="AU100" s="21">
        <f t="shared" si="13"/>
        <v>0</v>
      </c>
    </row>
    <row r="101" spans="1:47" x14ac:dyDescent="0.25">
      <c r="A101" s="4" t="s">
        <v>133</v>
      </c>
      <c r="B101" s="4" t="s">
        <v>106</v>
      </c>
      <c r="C101" s="5"/>
      <c r="D101" s="151">
        <v>7728</v>
      </c>
      <c r="E101" s="153">
        <v>9609</v>
      </c>
      <c r="F101" s="151"/>
      <c r="G101" s="153"/>
      <c r="H101" s="151"/>
      <c r="I101" s="153"/>
      <c r="J101" s="151"/>
      <c r="K101" s="153"/>
      <c r="L101" s="151"/>
      <c r="M101" s="153"/>
      <c r="N101" s="151"/>
      <c r="O101" s="153"/>
      <c r="P101" s="151"/>
      <c r="Q101" s="153"/>
      <c r="R101" s="151"/>
      <c r="S101" s="153"/>
      <c r="T101" s="151"/>
      <c r="U101" s="153"/>
      <c r="V101" s="151"/>
      <c r="W101" s="153"/>
      <c r="X101" s="151"/>
      <c r="Y101" s="153"/>
      <c r="Z101" s="61">
        <f t="shared" si="15"/>
        <v>7728</v>
      </c>
      <c r="AA101" s="75">
        <f t="shared" si="15"/>
        <v>9609</v>
      </c>
      <c r="AB101" s="151"/>
      <c r="AC101" s="153"/>
      <c r="AD101" s="151"/>
      <c r="AE101" s="153"/>
      <c r="AF101" s="151"/>
      <c r="AG101" s="153"/>
      <c r="AH101" s="151"/>
      <c r="AI101" s="153"/>
      <c r="AJ101" s="151"/>
      <c r="AK101" s="153"/>
      <c r="AL101" s="151"/>
      <c r="AM101" s="153"/>
      <c r="AN101" s="151"/>
      <c r="AO101" s="153"/>
      <c r="AP101" s="61">
        <f t="shared" si="16"/>
        <v>7728</v>
      </c>
      <c r="AQ101" s="75">
        <f t="shared" si="16"/>
        <v>9609</v>
      </c>
      <c r="AR101" s="150" t="s">
        <v>58</v>
      </c>
      <c r="AS101" s="21">
        <f t="shared" si="11"/>
        <v>1881</v>
      </c>
      <c r="AT101" s="21">
        <f t="shared" si="12"/>
        <v>1881</v>
      </c>
      <c r="AU101" s="21">
        <f t="shared" si="13"/>
        <v>0</v>
      </c>
    </row>
    <row r="102" spans="1:47" ht="30" x14ac:dyDescent="0.25">
      <c r="A102" s="4" t="s">
        <v>133</v>
      </c>
      <c r="B102" s="4" t="s">
        <v>147</v>
      </c>
      <c r="C102" s="5" t="s">
        <v>104</v>
      </c>
      <c r="D102" s="151"/>
      <c r="E102" s="153"/>
      <c r="F102" s="151">
        <v>51</v>
      </c>
      <c r="G102" s="153">
        <v>51</v>
      </c>
      <c r="H102" s="151"/>
      <c r="I102" s="153"/>
      <c r="J102" s="151"/>
      <c r="K102" s="153"/>
      <c r="L102" s="151"/>
      <c r="M102" s="153"/>
      <c r="N102" s="151"/>
      <c r="O102" s="153"/>
      <c r="P102" s="151"/>
      <c r="Q102" s="153"/>
      <c r="R102" s="151">
        <v>676</v>
      </c>
      <c r="S102" s="153">
        <v>500</v>
      </c>
      <c r="T102" s="151"/>
      <c r="U102" s="153"/>
      <c r="V102" s="151"/>
      <c r="W102" s="153"/>
      <c r="X102" s="151"/>
      <c r="Y102" s="153"/>
      <c r="Z102" s="61">
        <f t="shared" si="15"/>
        <v>727</v>
      </c>
      <c r="AA102" s="75">
        <f t="shared" si="15"/>
        <v>551</v>
      </c>
      <c r="AB102" s="151"/>
      <c r="AC102" s="153"/>
      <c r="AD102" s="151">
        <v>30</v>
      </c>
      <c r="AE102" s="153">
        <v>30</v>
      </c>
      <c r="AF102" s="151">
        <v>15</v>
      </c>
      <c r="AG102" s="153">
        <v>15</v>
      </c>
      <c r="AH102" s="151"/>
      <c r="AI102" s="153"/>
      <c r="AJ102" s="151"/>
      <c r="AK102" s="153"/>
      <c r="AL102" s="151"/>
      <c r="AM102" s="153"/>
      <c r="AN102" s="151"/>
      <c r="AO102" s="153"/>
      <c r="AP102" s="61">
        <f t="shared" si="16"/>
        <v>772</v>
      </c>
      <c r="AQ102" s="75">
        <f t="shared" si="16"/>
        <v>596</v>
      </c>
      <c r="AR102" s="150" t="s">
        <v>102</v>
      </c>
      <c r="AS102" s="21">
        <f t="shared" si="11"/>
        <v>-176</v>
      </c>
      <c r="AT102" s="21">
        <f t="shared" si="12"/>
        <v>0</v>
      </c>
      <c r="AU102" s="21">
        <f t="shared" si="13"/>
        <v>-176</v>
      </c>
    </row>
    <row r="103" spans="1:47" x14ac:dyDescent="0.25">
      <c r="A103" s="16" t="s">
        <v>148</v>
      </c>
      <c r="B103" s="16" t="s">
        <v>108</v>
      </c>
      <c r="C103" s="17"/>
      <c r="D103" s="18">
        <f t="shared" ref="D103:AQ103" si="17">SUM(D79:D102)</f>
        <v>425570</v>
      </c>
      <c r="E103" s="105">
        <f t="shared" si="17"/>
        <v>532705</v>
      </c>
      <c r="F103" s="18">
        <f t="shared" si="17"/>
        <v>3170</v>
      </c>
      <c r="G103" s="18">
        <f t="shared" si="17"/>
        <v>2460</v>
      </c>
      <c r="H103" s="18">
        <f t="shared" si="17"/>
        <v>17192</v>
      </c>
      <c r="I103" s="18">
        <f t="shared" si="17"/>
        <v>23920</v>
      </c>
      <c r="J103" s="18">
        <f t="shared" si="17"/>
        <v>4515</v>
      </c>
      <c r="K103" s="18">
        <f t="shared" si="17"/>
        <v>7041</v>
      </c>
      <c r="L103" s="18">
        <f t="shared" si="17"/>
        <v>23000</v>
      </c>
      <c r="M103" s="18">
        <f t="shared" si="17"/>
        <v>22552</v>
      </c>
      <c r="N103" s="18">
        <f t="shared" si="17"/>
        <v>3331</v>
      </c>
      <c r="O103" s="18">
        <f t="shared" si="17"/>
        <v>2875</v>
      </c>
      <c r="P103" s="18">
        <f t="shared" si="17"/>
        <v>4905</v>
      </c>
      <c r="Q103" s="18">
        <f t="shared" si="17"/>
        <v>2190</v>
      </c>
      <c r="R103" s="18">
        <f t="shared" si="17"/>
        <v>20126</v>
      </c>
      <c r="S103" s="18">
        <f t="shared" si="17"/>
        <v>17200</v>
      </c>
      <c r="T103" s="18">
        <f t="shared" si="17"/>
        <v>46041</v>
      </c>
      <c r="U103" s="18">
        <f t="shared" si="17"/>
        <v>46973</v>
      </c>
      <c r="V103" s="18">
        <f t="shared" si="17"/>
        <v>4900</v>
      </c>
      <c r="W103" s="18">
        <f t="shared" si="17"/>
        <v>3900</v>
      </c>
      <c r="X103" s="18">
        <f t="shared" si="17"/>
        <v>943</v>
      </c>
      <c r="Y103" s="18">
        <f t="shared" si="17"/>
        <v>890</v>
      </c>
      <c r="Z103" s="18">
        <f t="shared" si="17"/>
        <v>553693</v>
      </c>
      <c r="AA103" s="18">
        <f t="shared" si="17"/>
        <v>662706</v>
      </c>
      <c r="AB103" s="18">
        <f t="shared" si="17"/>
        <v>281</v>
      </c>
      <c r="AC103" s="18">
        <f t="shared" si="17"/>
        <v>281</v>
      </c>
      <c r="AD103" s="18">
        <f t="shared" si="17"/>
        <v>49843</v>
      </c>
      <c r="AE103" s="18">
        <f t="shared" si="17"/>
        <v>44165</v>
      </c>
      <c r="AF103" s="18">
        <f t="shared" si="17"/>
        <v>44377</v>
      </c>
      <c r="AG103" s="18">
        <f t="shared" si="17"/>
        <v>45590</v>
      </c>
      <c r="AH103" s="18">
        <f t="shared" si="17"/>
        <v>2598</v>
      </c>
      <c r="AI103" s="18">
        <f t="shared" si="17"/>
        <v>2510</v>
      </c>
      <c r="AJ103" s="18">
        <f t="shared" si="17"/>
        <v>0</v>
      </c>
      <c r="AK103" s="18">
        <f t="shared" si="17"/>
        <v>0</v>
      </c>
      <c r="AL103" s="18">
        <f t="shared" si="17"/>
        <v>10914</v>
      </c>
      <c r="AM103" s="18">
        <f t="shared" si="17"/>
        <v>10900</v>
      </c>
      <c r="AN103" s="18">
        <f t="shared" si="17"/>
        <v>0</v>
      </c>
      <c r="AO103" s="18">
        <f t="shared" si="17"/>
        <v>0</v>
      </c>
      <c r="AP103" s="18">
        <f t="shared" si="17"/>
        <v>661706</v>
      </c>
      <c r="AQ103" s="18">
        <f t="shared" si="17"/>
        <v>766152</v>
      </c>
      <c r="AR103" s="150"/>
      <c r="AS103" s="156">
        <f t="shared" si="11"/>
        <v>104446</v>
      </c>
      <c r="AT103" s="156">
        <f t="shared" si="12"/>
        <v>107135</v>
      </c>
      <c r="AU103" s="156">
        <f t="shared" si="13"/>
        <v>-2689</v>
      </c>
    </row>
    <row r="104" spans="1:47" x14ac:dyDescent="0.25">
      <c r="A104" s="4" t="s">
        <v>149</v>
      </c>
      <c r="B104" s="4" t="s">
        <v>56</v>
      </c>
      <c r="C104" s="5" t="s">
        <v>57</v>
      </c>
      <c r="D104" s="151">
        <v>49192</v>
      </c>
      <c r="E104" s="153">
        <v>46836</v>
      </c>
      <c r="F104" s="151">
        <v>815</v>
      </c>
      <c r="G104" s="153">
        <v>800</v>
      </c>
      <c r="H104" s="151"/>
      <c r="I104" s="153"/>
      <c r="J104" s="151">
        <v>475</v>
      </c>
      <c r="K104" s="153">
        <v>475</v>
      </c>
      <c r="L104" s="151">
        <v>2586</v>
      </c>
      <c r="M104" s="153">
        <v>2586</v>
      </c>
      <c r="N104" s="151">
        <v>510</v>
      </c>
      <c r="O104" s="153">
        <v>551</v>
      </c>
      <c r="P104" s="151"/>
      <c r="Q104" s="153"/>
      <c r="R104" s="151">
        <v>3110</v>
      </c>
      <c r="S104" s="153">
        <v>2500</v>
      </c>
      <c r="T104" s="151"/>
      <c r="U104" s="153"/>
      <c r="V104" s="151"/>
      <c r="W104" s="153"/>
      <c r="X104" s="151"/>
      <c r="Y104" s="153"/>
      <c r="Z104" s="61">
        <f t="shared" ref="Z104:AA134" si="18">D104+F104+H104+J104+L104+P104+R104+T104+V104+X104+N104</f>
        <v>56688</v>
      </c>
      <c r="AA104" s="75">
        <f t="shared" si="18"/>
        <v>53748</v>
      </c>
      <c r="AB104" s="151"/>
      <c r="AC104" s="153"/>
      <c r="AD104" s="151">
        <v>7410</v>
      </c>
      <c r="AE104" s="153">
        <v>6755</v>
      </c>
      <c r="AF104" s="151">
        <v>4650</v>
      </c>
      <c r="AG104" s="153">
        <v>4417</v>
      </c>
      <c r="AH104" s="151"/>
      <c r="AI104" s="153"/>
      <c r="AJ104" s="151"/>
      <c r="AK104" s="153"/>
      <c r="AL104" s="151"/>
      <c r="AM104" s="153"/>
      <c r="AN104" s="151">
        <v>115</v>
      </c>
      <c r="AO104" s="153"/>
      <c r="AP104" s="61">
        <f t="shared" ref="AP104:AQ134" si="19">Z104+AB104+AD104+AF104+AH104+AJ104+AL104+AN104</f>
        <v>68863</v>
      </c>
      <c r="AQ104" s="75">
        <f t="shared" si="19"/>
        <v>64920</v>
      </c>
      <c r="AR104" s="150" t="s">
        <v>58</v>
      </c>
      <c r="AS104" s="21">
        <f t="shared" si="11"/>
        <v>-3943</v>
      </c>
      <c r="AT104" s="21">
        <f t="shared" si="12"/>
        <v>-2356</v>
      </c>
      <c r="AU104" s="21">
        <f t="shared" si="13"/>
        <v>-1587</v>
      </c>
    </row>
    <row r="105" spans="1:47" x14ac:dyDescent="0.25">
      <c r="A105" s="4" t="s">
        <v>149</v>
      </c>
      <c r="B105" s="4" t="s">
        <v>150</v>
      </c>
      <c r="C105" s="5" t="s">
        <v>57</v>
      </c>
      <c r="D105" s="151"/>
      <c r="E105" s="153"/>
      <c r="F105" s="151"/>
      <c r="G105" s="153"/>
      <c r="H105" s="151"/>
      <c r="I105" s="153"/>
      <c r="J105" s="151"/>
      <c r="K105" s="153"/>
      <c r="L105" s="151"/>
      <c r="M105" s="153"/>
      <c r="N105" s="151"/>
      <c r="O105" s="153"/>
      <c r="P105" s="151"/>
      <c r="Q105" s="153"/>
      <c r="R105" s="151"/>
      <c r="S105" s="153"/>
      <c r="T105" s="151"/>
      <c r="U105" s="153"/>
      <c r="V105" s="151"/>
      <c r="W105" s="153"/>
      <c r="X105" s="151"/>
      <c r="Y105" s="153"/>
      <c r="Z105" s="61">
        <f t="shared" si="18"/>
        <v>0</v>
      </c>
      <c r="AA105" s="75">
        <f t="shared" si="18"/>
        <v>0</v>
      </c>
      <c r="AB105" s="151"/>
      <c r="AC105" s="153"/>
      <c r="AD105" s="151">
        <v>500</v>
      </c>
      <c r="AE105" s="153">
        <v>150</v>
      </c>
      <c r="AF105" s="151">
        <v>400</v>
      </c>
      <c r="AG105" s="153">
        <v>350</v>
      </c>
      <c r="AH105" s="151"/>
      <c r="AI105" s="153"/>
      <c r="AJ105" s="151"/>
      <c r="AK105" s="153"/>
      <c r="AL105" s="151"/>
      <c r="AM105" s="153"/>
      <c r="AN105" s="151"/>
      <c r="AO105" s="153"/>
      <c r="AP105" s="61">
        <f t="shared" si="19"/>
        <v>900</v>
      </c>
      <c r="AQ105" s="75">
        <f t="shared" si="19"/>
        <v>500</v>
      </c>
      <c r="AR105" s="150" t="s">
        <v>58</v>
      </c>
      <c r="AS105" s="21">
        <f t="shared" si="11"/>
        <v>-400</v>
      </c>
      <c r="AT105" s="21">
        <f t="shared" si="12"/>
        <v>0</v>
      </c>
      <c r="AU105" s="21">
        <f t="shared" si="13"/>
        <v>-400</v>
      </c>
    </row>
    <row r="106" spans="1:47" x14ac:dyDescent="0.25">
      <c r="A106" s="4" t="s">
        <v>149</v>
      </c>
      <c r="B106" s="4" t="s">
        <v>151</v>
      </c>
      <c r="C106" s="5" t="s">
        <v>152</v>
      </c>
      <c r="D106" s="151"/>
      <c r="E106" s="153"/>
      <c r="F106" s="151"/>
      <c r="G106" s="153"/>
      <c r="H106" s="151"/>
      <c r="I106" s="153"/>
      <c r="J106" s="151"/>
      <c r="K106" s="153"/>
      <c r="L106" s="151"/>
      <c r="M106" s="153"/>
      <c r="N106" s="151"/>
      <c r="O106" s="153"/>
      <c r="P106" s="151"/>
      <c r="Q106" s="153"/>
      <c r="R106" s="151"/>
      <c r="S106" s="153"/>
      <c r="T106" s="151"/>
      <c r="U106" s="153"/>
      <c r="V106" s="151"/>
      <c r="W106" s="153"/>
      <c r="X106" s="151"/>
      <c r="Y106" s="153"/>
      <c r="Z106" s="61">
        <f t="shared" si="18"/>
        <v>0</v>
      </c>
      <c r="AA106" s="75">
        <f t="shared" si="18"/>
        <v>0</v>
      </c>
      <c r="AB106" s="151"/>
      <c r="AC106" s="153"/>
      <c r="AD106" s="151">
        <v>711</v>
      </c>
      <c r="AE106" s="153">
        <v>0</v>
      </c>
      <c r="AF106" s="151"/>
      <c r="AG106" s="153"/>
      <c r="AH106" s="151"/>
      <c r="AI106" s="153"/>
      <c r="AJ106" s="151"/>
      <c r="AK106" s="153"/>
      <c r="AL106" s="151"/>
      <c r="AM106" s="153"/>
      <c r="AN106" s="151"/>
      <c r="AO106" s="153"/>
      <c r="AP106" s="61">
        <f t="shared" si="19"/>
        <v>711</v>
      </c>
      <c r="AQ106" s="75">
        <f t="shared" si="19"/>
        <v>0</v>
      </c>
      <c r="AR106" s="150"/>
      <c r="AS106" s="21">
        <f t="shared" si="11"/>
        <v>-711</v>
      </c>
      <c r="AT106" s="21">
        <f t="shared" si="12"/>
        <v>0</v>
      </c>
      <c r="AU106" s="21">
        <f t="shared" si="13"/>
        <v>-711</v>
      </c>
    </row>
    <row r="107" spans="1:47" x14ac:dyDescent="0.25">
      <c r="A107" s="4" t="s">
        <v>149</v>
      </c>
      <c r="B107" s="4" t="s">
        <v>78</v>
      </c>
      <c r="C107" s="5" t="s">
        <v>79</v>
      </c>
      <c r="D107" s="143"/>
      <c r="E107" s="153"/>
      <c r="F107" s="143"/>
      <c r="G107" s="153">
        <v>400</v>
      </c>
      <c r="H107" s="143"/>
      <c r="I107" s="153">
        <v>1410</v>
      </c>
      <c r="J107" s="143"/>
      <c r="K107" s="153">
        <v>197</v>
      </c>
      <c r="L107" s="143"/>
      <c r="M107" s="153">
        <v>470</v>
      </c>
      <c r="N107" s="143"/>
      <c r="O107" s="153"/>
      <c r="P107" s="143"/>
      <c r="Q107" s="153"/>
      <c r="R107" s="143"/>
      <c r="S107" s="153"/>
      <c r="T107" s="143"/>
      <c r="U107" s="153"/>
      <c r="V107" s="143"/>
      <c r="W107" s="153"/>
      <c r="X107" s="143"/>
      <c r="Y107" s="153"/>
      <c r="Z107" s="61">
        <f t="shared" si="18"/>
        <v>0</v>
      </c>
      <c r="AA107" s="75">
        <f t="shared" si="18"/>
        <v>2477</v>
      </c>
      <c r="AB107" s="143"/>
      <c r="AC107" s="153"/>
      <c r="AD107" s="143"/>
      <c r="AE107" s="153">
        <v>320</v>
      </c>
      <c r="AF107" s="143"/>
      <c r="AG107" s="153"/>
      <c r="AH107" s="143"/>
      <c r="AI107" s="153"/>
      <c r="AJ107" s="143"/>
      <c r="AK107" s="153"/>
      <c r="AL107" s="143"/>
      <c r="AM107" s="153"/>
      <c r="AN107" s="143"/>
      <c r="AO107" s="153"/>
      <c r="AP107" s="61">
        <f t="shared" si="19"/>
        <v>0</v>
      </c>
      <c r="AQ107" s="75">
        <f t="shared" si="19"/>
        <v>2797</v>
      </c>
      <c r="AR107" s="150"/>
      <c r="AS107" s="21">
        <f t="shared" si="11"/>
        <v>2797</v>
      </c>
      <c r="AT107" s="21">
        <f t="shared" si="12"/>
        <v>0</v>
      </c>
      <c r="AU107" s="21">
        <f t="shared" si="13"/>
        <v>2797</v>
      </c>
    </row>
    <row r="108" spans="1:47" x14ac:dyDescent="0.25">
      <c r="A108" s="4" t="s">
        <v>149</v>
      </c>
      <c r="B108" s="4" t="s">
        <v>98</v>
      </c>
      <c r="C108" s="5" t="s">
        <v>99</v>
      </c>
      <c r="D108" s="143"/>
      <c r="E108" s="153"/>
      <c r="F108" s="143">
        <v>175</v>
      </c>
      <c r="G108" s="153">
        <v>175</v>
      </c>
      <c r="H108" s="143">
        <v>650</v>
      </c>
      <c r="I108" s="153">
        <v>650</v>
      </c>
      <c r="J108" s="143">
        <v>40</v>
      </c>
      <c r="K108" s="153">
        <v>40</v>
      </c>
      <c r="L108" s="143">
        <v>217</v>
      </c>
      <c r="M108" s="153">
        <v>217</v>
      </c>
      <c r="N108" s="143">
        <v>15</v>
      </c>
      <c r="O108" s="153">
        <v>15</v>
      </c>
      <c r="P108" s="143"/>
      <c r="Q108" s="153"/>
      <c r="R108" s="143">
        <v>176</v>
      </c>
      <c r="S108" s="153">
        <v>150</v>
      </c>
      <c r="T108" s="143"/>
      <c r="U108" s="153"/>
      <c r="V108" s="143"/>
      <c r="W108" s="153"/>
      <c r="X108" s="143"/>
      <c r="Y108" s="153"/>
      <c r="Z108" s="61">
        <f t="shared" si="18"/>
        <v>1273</v>
      </c>
      <c r="AA108" s="75">
        <f t="shared" si="18"/>
        <v>1247</v>
      </c>
      <c r="AB108" s="143"/>
      <c r="AC108" s="153"/>
      <c r="AD108" s="143">
        <v>65</v>
      </c>
      <c r="AE108" s="153">
        <v>60</v>
      </c>
      <c r="AF108" s="143">
        <v>85</v>
      </c>
      <c r="AG108" s="153">
        <v>79</v>
      </c>
      <c r="AH108" s="143"/>
      <c r="AI108" s="153"/>
      <c r="AJ108" s="143"/>
      <c r="AK108" s="153"/>
      <c r="AL108" s="143"/>
      <c r="AM108" s="153"/>
      <c r="AN108" s="143"/>
      <c r="AO108" s="153"/>
      <c r="AP108" s="61">
        <f t="shared" si="19"/>
        <v>1423</v>
      </c>
      <c r="AQ108" s="75">
        <f t="shared" si="19"/>
        <v>1386</v>
      </c>
      <c r="AR108" s="150" t="s">
        <v>58</v>
      </c>
      <c r="AS108" s="21">
        <f t="shared" si="11"/>
        <v>-37</v>
      </c>
      <c r="AT108" s="21">
        <f t="shared" si="12"/>
        <v>0</v>
      </c>
      <c r="AU108" s="21">
        <f t="shared" si="13"/>
        <v>-37</v>
      </c>
    </row>
    <row r="109" spans="1:47" x14ac:dyDescent="0.25">
      <c r="A109" s="4" t="s">
        <v>149</v>
      </c>
      <c r="B109" s="4" t="s">
        <v>143</v>
      </c>
      <c r="C109" s="5" t="s">
        <v>70</v>
      </c>
      <c r="D109" s="151">
        <v>13580</v>
      </c>
      <c r="E109" s="153">
        <v>14178</v>
      </c>
      <c r="F109" s="151"/>
      <c r="G109" s="153"/>
      <c r="H109" s="151"/>
      <c r="I109" s="153"/>
      <c r="J109" s="151"/>
      <c r="K109" s="153"/>
      <c r="L109" s="151"/>
      <c r="M109" s="153"/>
      <c r="N109" s="151"/>
      <c r="O109" s="153"/>
      <c r="P109" s="151"/>
      <c r="Q109" s="153"/>
      <c r="R109" s="151">
        <v>3979</v>
      </c>
      <c r="S109" s="153">
        <v>1989</v>
      </c>
      <c r="T109" s="151"/>
      <c r="U109" s="153"/>
      <c r="V109" s="151"/>
      <c r="W109" s="153"/>
      <c r="X109" s="151"/>
      <c r="Y109" s="153"/>
      <c r="Z109" s="61">
        <f t="shared" si="18"/>
        <v>17559</v>
      </c>
      <c r="AA109" s="75">
        <f t="shared" si="18"/>
        <v>16167</v>
      </c>
      <c r="AB109" s="151">
        <v>34</v>
      </c>
      <c r="AC109" s="153"/>
      <c r="AD109" s="151">
        <v>2550</v>
      </c>
      <c r="AE109" s="153">
        <v>2550</v>
      </c>
      <c r="AF109" s="151">
        <v>2610</v>
      </c>
      <c r="AG109" s="153">
        <v>750</v>
      </c>
      <c r="AH109" s="151"/>
      <c r="AI109" s="153"/>
      <c r="AJ109" s="151"/>
      <c r="AK109" s="153"/>
      <c r="AL109" s="151">
        <v>1000</v>
      </c>
      <c r="AM109" s="153"/>
      <c r="AN109" s="151"/>
      <c r="AO109" s="153"/>
      <c r="AP109" s="61">
        <f t="shared" si="19"/>
        <v>23753</v>
      </c>
      <c r="AQ109" s="75">
        <f t="shared" si="19"/>
        <v>19467</v>
      </c>
      <c r="AR109" s="150" t="s">
        <v>71</v>
      </c>
      <c r="AS109" s="21">
        <f t="shared" si="11"/>
        <v>-4286</v>
      </c>
      <c r="AT109" s="21">
        <f t="shared" si="12"/>
        <v>598</v>
      </c>
      <c r="AU109" s="21">
        <f t="shared" si="13"/>
        <v>-4884</v>
      </c>
    </row>
    <row r="110" spans="1:47" x14ac:dyDescent="0.25">
      <c r="A110" s="4" t="s">
        <v>149</v>
      </c>
      <c r="B110" s="4" t="s">
        <v>126</v>
      </c>
      <c r="C110" s="5" t="s">
        <v>73</v>
      </c>
      <c r="D110" s="151">
        <v>9485</v>
      </c>
      <c r="E110" s="153">
        <v>10115</v>
      </c>
      <c r="F110" s="151">
        <v>510</v>
      </c>
      <c r="G110" s="153">
        <v>510</v>
      </c>
      <c r="H110" s="151">
        <v>954</v>
      </c>
      <c r="I110" s="153">
        <v>954</v>
      </c>
      <c r="J110" s="151">
        <v>45</v>
      </c>
      <c r="K110" s="153">
        <v>45</v>
      </c>
      <c r="L110" s="151">
        <v>610</v>
      </c>
      <c r="M110" s="153">
        <v>610</v>
      </c>
      <c r="N110" s="151">
        <v>15</v>
      </c>
      <c r="O110" s="153">
        <v>17</v>
      </c>
      <c r="P110" s="151"/>
      <c r="Q110" s="153"/>
      <c r="R110" s="151"/>
      <c r="S110" s="153"/>
      <c r="T110" s="151"/>
      <c r="U110" s="153"/>
      <c r="V110" s="151"/>
      <c r="W110" s="153"/>
      <c r="X110" s="151"/>
      <c r="Y110" s="153"/>
      <c r="Z110" s="61">
        <f t="shared" si="18"/>
        <v>11619</v>
      </c>
      <c r="AA110" s="75">
        <f t="shared" si="18"/>
        <v>12251</v>
      </c>
      <c r="AB110" s="151"/>
      <c r="AC110" s="153"/>
      <c r="AD110" s="151">
        <v>480</v>
      </c>
      <c r="AE110" s="153">
        <v>450</v>
      </c>
      <c r="AF110" s="151">
        <v>210</v>
      </c>
      <c r="AG110" s="153">
        <v>150</v>
      </c>
      <c r="AH110" s="151">
        <v>3350</v>
      </c>
      <c r="AI110" s="153">
        <v>3268</v>
      </c>
      <c r="AJ110" s="151"/>
      <c r="AK110" s="153"/>
      <c r="AL110" s="151"/>
      <c r="AM110" s="153"/>
      <c r="AN110" s="151"/>
      <c r="AO110" s="153"/>
      <c r="AP110" s="61">
        <f t="shared" si="19"/>
        <v>15659</v>
      </c>
      <c r="AQ110" s="75">
        <f t="shared" si="19"/>
        <v>16119</v>
      </c>
      <c r="AR110" s="150" t="s">
        <v>74</v>
      </c>
      <c r="AS110" s="21">
        <f t="shared" si="11"/>
        <v>460</v>
      </c>
      <c r="AT110" s="21">
        <f t="shared" si="12"/>
        <v>630</v>
      </c>
      <c r="AU110" s="21">
        <f t="shared" si="13"/>
        <v>-170</v>
      </c>
    </row>
    <row r="111" spans="1:47" x14ac:dyDescent="0.25">
      <c r="A111" s="4" t="s">
        <v>149</v>
      </c>
      <c r="B111" s="4" t="s">
        <v>77</v>
      </c>
      <c r="C111" s="5" t="s">
        <v>73</v>
      </c>
      <c r="D111" s="151">
        <v>32611</v>
      </c>
      <c r="E111" s="153">
        <v>32865</v>
      </c>
      <c r="F111" s="151">
        <v>405</v>
      </c>
      <c r="G111" s="153">
        <v>405</v>
      </c>
      <c r="H111" s="151">
        <v>3315</v>
      </c>
      <c r="I111" s="153">
        <v>3315</v>
      </c>
      <c r="J111" s="151">
        <v>110</v>
      </c>
      <c r="K111" s="153">
        <v>110</v>
      </c>
      <c r="L111" s="151">
        <v>1455</v>
      </c>
      <c r="M111" s="153">
        <v>1455</v>
      </c>
      <c r="N111" s="151">
        <v>230</v>
      </c>
      <c r="O111" s="153">
        <v>253</v>
      </c>
      <c r="P111" s="151">
        <v>480</v>
      </c>
      <c r="Q111" s="153">
        <v>480</v>
      </c>
      <c r="R111" s="151">
        <v>1081</v>
      </c>
      <c r="S111" s="153">
        <v>700</v>
      </c>
      <c r="T111" s="151"/>
      <c r="U111" s="153"/>
      <c r="V111" s="151"/>
      <c r="W111" s="153"/>
      <c r="X111" s="151"/>
      <c r="Y111" s="153"/>
      <c r="Z111" s="61">
        <f t="shared" si="18"/>
        <v>39687</v>
      </c>
      <c r="AA111" s="75">
        <f t="shared" si="18"/>
        <v>39583</v>
      </c>
      <c r="AB111" s="151">
        <v>120</v>
      </c>
      <c r="AC111" s="153"/>
      <c r="AD111" s="151">
        <v>6670</v>
      </c>
      <c r="AE111" s="153"/>
      <c r="AF111" s="151">
        <v>2775</v>
      </c>
      <c r="AG111" s="153"/>
      <c r="AH111" s="151"/>
      <c r="AI111" s="153"/>
      <c r="AJ111" s="151"/>
      <c r="AK111" s="153"/>
      <c r="AL111" s="151"/>
      <c r="AM111" s="153"/>
      <c r="AN111" s="151"/>
      <c r="AO111" s="153"/>
      <c r="AP111" s="61">
        <f t="shared" si="19"/>
        <v>49252</v>
      </c>
      <c r="AQ111" s="75">
        <f t="shared" si="19"/>
        <v>39583</v>
      </c>
      <c r="AR111" s="150" t="s">
        <v>74</v>
      </c>
      <c r="AS111" s="21">
        <f t="shared" si="11"/>
        <v>-9669</v>
      </c>
      <c r="AT111" s="21">
        <f t="shared" si="12"/>
        <v>254</v>
      </c>
      <c r="AU111" s="21">
        <f t="shared" si="13"/>
        <v>-9923</v>
      </c>
    </row>
    <row r="112" spans="1:47" x14ac:dyDescent="0.25">
      <c r="A112" s="4" t="s">
        <v>149</v>
      </c>
      <c r="B112" s="4" t="s">
        <v>153</v>
      </c>
      <c r="C112" s="5" t="s">
        <v>73</v>
      </c>
      <c r="D112" s="151">
        <v>10736</v>
      </c>
      <c r="E112" s="153">
        <v>11019</v>
      </c>
      <c r="F112" s="151">
        <v>370</v>
      </c>
      <c r="G112" s="153">
        <v>370</v>
      </c>
      <c r="H112" s="151"/>
      <c r="I112" s="153"/>
      <c r="J112" s="151">
        <v>62</v>
      </c>
      <c r="K112" s="153">
        <v>62</v>
      </c>
      <c r="L112" s="151">
        <v>701</v>
      </c>
      <c r="M112" s="153">
        <v>701</v>
      </c>
      <c r="N112" s="151">
        <v>201</v>
      </c>
      <c r="O112" s="153">
        <v>221</v>
      </c>
      <c r="P112" s="151">
        <v>3387</v>
      </c>
      <c r="Q112" s="153">
        <v>3387</v>
      </c>
      <c r="R112" s="151">
        <v>70</v>
      </c>
      <c r="S112" s="153">
        <v>60</v>
      </c>
      <c r="T112" s="151"/>
      <c r="U112" s="153"/>
      <c r="V112" s="151"/>
      <c r="W112" s="153"/>
      <c r="X112" s="151"/>
      <c r="Y112" s="153"/>
      <c r="Z112" s="61">
        <f t="shared" si="18"/>
        <v>15527</v>
      </c>
      <c r="AA112" s="75">
        <f t="shared" si="18"/>
        <v>15820</v>
      </c>
      <c r="AB112" s="151">
        <v>50</v>
      </c>
      <c r="AC112" s="153"/>
      <c r="AD112" s="151">
        <v>1309</v>
      </c>
      <c r="AE112" s="153">
        <v>780</v>
      </c>
      <c r="AF112" s="151">
        <v>1200</v>
      </c>
      <c r="AG112" s="153">
        <v>820</v>
      </c>
      <c r="AH112" s="151"/>
      <c r="AI112" s="153"/>
      <c r="AJ112" s="151"/>
      <c r="AK112" s="153"/>
      <c r="AL112" s="151"/>
      <c r="AM112" s="153"/>
      <c r="AN112" s="151"/>
      <c r="AO112" s="153"/>
      <c r="AP112" s="61">
        <f t="shared" si="19"/>
        <v>18086</v>
      </c>
      <c r="AQ112" s="75">
        <f t="shared" si="19"/>
        <v>17420</v>
      </c>
      <c r="AR112" s="150" t="s">
        <v>128</v>
      </c>
      <c r="AS112" s="21">
        <f t="shared" si="11"/>
        <v>-666</v>
      </c>
      <c r="AT112" s="21">
        <f t="shared" si="12"/>
        <v>283</v>
      </c>
      <c r="AU112" s="21">
        <f t="shared" si="13"/>
        <v>-949</v>
      </c>
    </row>
    <row r="113" spans="1:47" x14ac:dyDescent="0.25">
      <c r="A113" s="4" t="s">
        <v>149</v>
      </c>
      <c r="B113" s="4" t="s">
        <v>154</v>
      </c>
      <c r="C113" s="5" t="s">
        <v>82</v>
      </c>
      <c r="D113" s="151">
        <v>49899</v>
      </c>
      <c r="E113" s="153">
        <v>57143</v>
      </c>
      <c r="F113" s="151">
        <v>700</v>
      </c>
      <c r="G113" s="153">
        <v>630</v>
      </c>
      <c r="H113" s="151">
        <v>7841</v>
      </c>
      <c r="I113" s="153">
        <v>7841</v>
      </c>
      <c r="J113" s="151">
        <v>459</v>
      </c>
      <c r="K113" s="153">
        <v>1377</v>
      </c>
      <c r="L113" s="151">
        <v>5552</v>
      </c>
      <c r="M113" s="153">
        <v>5600</v>
      </c>
      <c r="N113" s="151">
        <v>1250</v>
      </c>
      <c r="O113" s="153">
        <v>1375</v>
      </c>
      <c r="P113" s="151"/>
      <c r="Q113" s="153"/>
      <c r="R113" s="151">
        <v>1090</v>
      </c>
      <c r="S113" s="153">
        <v>500</v>
      </c>
      <c r="T113" s="151">
        <v>11110</v>
      </c>
      <c r="U113" s="153">
        <v>10802</v>
      </c>
      <c r="V113" s="151"/>
      <c r="W113" s="153"/>
      <c r="X113" s="151"/>
      <c r="Y113" s="153"/>
      <c r="Z113" s="61">
        <f t="shared" si="18"/>
        <v>77901</v>
      </c>
      <c r="AA113" s="75">
        <f t="shared" si="18"/>
        <v>85268</v>
      </c>
      <c r="AB113" s="151">
        <v>50</v>
      </c>
      <c r="AC113" s="153"/>
      <c r="AD113" s="151">
        <v>5580</v>
      </c>
      <c r="AE113" s="153">
        <v>3500</v>
      </c>
      <c r="AF113" s="151">
        <v>6500</v>
      </c>
      <c r="AG113" s="153">
        <v>4650</v>
      </c>
      <c r="AH113" s="151"/>
      <c r="AI113" s="153"/>
      <c r="AJ113" s="151"/>
      <c r="AK113" s="153"/>
      <c r="AL113" s="151"/>
      <c r="AM113" s="153"/>
      <c r="AN113" s="151"/>
      <c r="AO113" s="153"/>
      <c r="AP113" s="61">
        <f t="shared" si="19"/>
        <v>90031</v>
      </c>
      <c r="AQ113" s="75">
        <f t="shared" si="19"/>
        <v>93418</v>
      </c>
      <c r="AR113" s="150" t="s">
        <v>128</v>
      </c>
      <c r="AS113" s="21">
        <f t="shared" si="11"/>
        <v>3387</v>
      </c>
      <c r="AT113" s="21">
        <f t="shared" si="12"/>
        <v>7244</v>
      </c>
      <c r="AU113" s="21">
        <f t="shared" si="13"/>
        <v>-3857</v>
      </c>
    </row>
    <row r="114" spans="1:47" ht="26.25" x14ac:dyDescent="0.25">
      <c r="A114" s="4" t="s">
        <v>149</v>
      </c>
      <c r="B114" s="4" t="s">
        <v>83</v>
      </c>
      <c r="C114" s="5" t="s">
        <v>82</v>
      </c>
      <c r="D114" s="151">
        <f>52813+1050</f>
        <v>53863</v>
      </c>
      <c r="E114" s="153">
        <v>51156</v>
      </c>
      <c r="F114" s="151"/>
      <c r="G114" s="153"/>
      <c r="H114" s="151"/>
      <c r="I114" s="153"/>
      <c r="J114" s="151"/>
      <c r="K114" s="153"/>
      <c r="L114" s="151"/>
      <c r="M114" s="153"/>
      <c r="N114" s="151"/>
      <c r="O114" s="153"/>
      <c r="P114" s="151"/>
      <c r="Q114" s="153"/>
      <c r="R114" s="151"/>
      <c r="S114" s="153"/>
      <c r="T114" s="151"/>
      <c r="U114" s="153"/>
      <c r="V114" s="151"/>
      <c r="W114" s="153"/>
      <c r="X114" s="151"/>
      <c r="Y114" s="153"/>
      <c r="Z114" s="61">
        <f t="shared" si="18"/>
        <v>53863</v>
      </c>
      <c r="AA114" s="75">
        <f t="shared" si="18"/>
        <v>51156</v>
      </c>
      <c r="AB114" s="151"/>
      <c r="AC114" s="153"/>
      <c r="AD114" s="151"/>
      <c r="AE114" s="153"/>
      <c r="AF114" s="151"/>
      <c r="AG114" s="153"/>
      <c r="AH114" s="151"/>
      <c r="AI114" s="153"/>
      <c r="AJ114" s="151"/>
      <c r="AK114" s="153"/>
      <c r="AL114" s="151"/>
      <c r="AM114" s="153"/>
      <c r="AN114" s="151"/>
      <c r="AO114" s="153"/>
      <c r="AP114" s="61">
        <f t="shared" si="19"/>
        <v>53863</v>
      </c>
      <c r="AQ114" s="75">
        <f t="shared" si="19"/>
        <v>51156</v>
      </c>
      <c r="AR114" s="150" t="s">
        <v>128</v>
      </c>
      <c r="AS114" s="21">
        <f t="shared" si="11"/>
        <v>-2707</v>
      </c>
      <c r="AT114" s="21">
        <f t="shared" si="12"/>
        <v>-2707</v>
      </c>
      <c r="AU114" s="21">
        <f t="shared" si="13"/>
        <v>0</v>
      </c>
    </row>
    <row r="115" spans="1:47" x14ac:dyDescent="0.25">
      <c r="A115" s="4" t="s">
        <v>149</v>
      </c>
      <c r="B115" s="4" t="s">
        <v>85</v>
      </c>
      <c r="C115" s="5" t="s">
        <v>86</v>
      </c>
      <c r="D115" s="151">
        <v>28635</v>
      </c>
      <c r="E115" s="153">
        <v>31590</v>
      </c>
      <c r="F115" s="151">
        <v>971</v>
      </c>
      <c r="G115" s="153">
        <v>971</v>
      </c>
      <c r="H115" s="151">
        <v>20555</v>
      </c>
      <c r="I115" s="153">
        <v>20555</v>
      </c>
      <c r="J115" s="151">
        <v>2550</v>
      </c>
      <c r="K115" s="153">
        <v>2500</v>
      </c>
      <c r="L115" s="151">
        <v>6550</v>
      </c>
      <c r="M115" s="153">
        <v>6450</v>
      </c>
      <c r="N115" s="151">
        <v>1504</v>
      </c>
      <c r="O115" s="153">
        <v>1632</v>
      </c>
      <c r="P115" s="151"/>
      <c r="Q115" s="153"/>
      <c r="R115" s="151">
        <v>2020</v>
      </c>
      <c r="S115" s="153">
        <v>1000</v>
      </c>
      <c r="T115" s="151">
        <v>3374</v>
      </c>
      <c r="U115" s="153">
        <v>3251</v>
      </c>
      <c r="V115" s="151"/>
      <c r="W115" s="153"/>
      <c r="X115" s="151"/>
      <c r="Y115" s="153"/>
      <c r="Z115" s="61">
        <f t="shared" si="18"/>
        <v>66159</v>
      </c>
      <c r="AA115" s="75">
        <f t="shared" si="18"/>
        <v>67949</v>
      </c>
      <c r="AB115" s="151">
        <v>546</v>
      </c>
      <c r="AC115" s="153"/>
      <c r="AD115" s="151">
        <v>13391</v>
      </c>
      <c r="AE115" s="153">
        <v>13000</v>
      </c>
      <c r="AF115" s="151">
        <v>12850</v>
      </c>
      <c r="AG115" s="153">
        <v>10551</v>
      </c>
      <c r="AH115" s="151"/>
      <c r="AI115" s="153"/>
      <c r="AJ115" s="151"/>
      <c r="AK115" s="153"/>
      <c r="AL115" s="151"/>
      <c r="AM115" s="153"/>
      <c r="AN115" s="151"/>
      <c r="AO115" s="153"/>
      <c r="AP115" s="61">
        <f t="shared" si="19"/>
        <v>92946</v>
      </c>
      <c r="AQ115" s="75">
        <f t="shared" si="19"/>
        <v>91500</v>
      </c>
      <c r="AR115" s="150" t="s">
        <v>128</v>
      </c>
      <c r="AS115" s="21">
        <f t="shared" si="11"/>
        <v>-1446</v>
      </c>
      <c r="AT115" s="21">
        <f t="shared" si="12"/>
        <v>2955</v>
      </c>
      <c r="AU115" s="21">
        <f t="shared" si="13"/>
        <v>-4401</v>
      </c>
    </row>
    <row r="116" spans="1:47" ht="26.25" x14ac:dyDescent="0.25">
      <c r="A116" s="4" t="s">
        <v>149</v>
      </c>
      <c r="B116" s="4" t="s">
        <v>88</v>
      </c>
      <c r="C116" s="5" t="s">
        <v>86</v>
      </c>
      <c r="D116" s="151"/>
      <c r="E116" s="153"/>
      <c r="F116" s="151"/>
      <c r="G116" s="153"/>
      <c r="H116" s="151"/>
      <c r="I116" s="153"/>
      <c r="J116" s="151"/>
      <c r="K116" s="153"/>
      <c r="L116" s="151"/>
      <c r="M116" s="153"/>
      <c r="N116" s="151"/>
      <c r="O116" s="153"/>
      <c r="P116" s="151"/>
      <c r="Q116" s="153"/>
      <c r="R116" s="151"/>
      <c r="S116" s="153"/>
      <c r="T116" s="151">
        <v>3067</v>
      </c>
      <c r="U116" s="153">
        <v>3272</v>
      </c>
      <c r="V116" s="151"/>
      <c r="W116" s="153"/>
      <c r="X116" s="151"/>
      <c r="Y116" s="153"/>
      <c r="Z116" s="61">
        <f t="shared" si="18"/>
        <v>3067</v>
      </c>
      <c r="AA116" s="75">
        <f t="shared" si="18"/>
        <v>3272</v>
      </c>
      <c r="AB116" s="151"/>
      <c r="AC116" s="153"/>
      <c r="AD116" s="151"/>
      <c r="AE116" s="153"/>
      <c r="AF116" s="151"/>
      <c r="AG116" s="153"/>
      <c r="AH116" s="151"/>
      <c r="AI116" s="153"/>
      <c r="AJ116" s="151"/>
      <c r="AK116" s="153"/>
      <c r="AL116" s="151"/>
      <c r="AM116" s="153"/>
      <c r="AN116" s="151"/>
      <c r="AO116" s="153"/>
      <c r="AP116" s="61">
        <f t="shared" si="19"/>
        <v>3067</v>
      </c>
      <c r="AQ116" s="75">
        <f t="shared" si="19"/>
        <v>3272</v>
      </c>
      <c r="AR116" s="150" t="s">
        <v>128</v>
      </c>
      <c r="AS116" s="21">
        <f t="shared" si="11"/>
        <v>205</v>
      </c>
      <c r="AT116" s="21">
        <f t="shared" si="12"/>
        <v>0</v>
      </c>
      <c r="AU116" s="21">
        <f t="shared" si="13"/>
        <v>205</v>
      </c>
    </row>
    <row r="117" spans="1:47" ht="26.25" x14ac:dyDescent="0.25">
      <c r="A117" s="4" t="s">
        <v>149</v>
      </c>
      <c r="B117" s="4" t="s">
        <v>155</v>
      </c>
      <c r="C117" s="7" t="s">
        <v>156</v>
      </c>
      <c r="D117" s="151"/>
      <c r="E117" s="153"/>
      <c r="F117" s="151"/>
      <c r="G117" s="153"/>
      <c r="H117" s="151"/>
      <c r="I117" s="153"/>
      <c r="J117" s="151"/>
      <c r="K117" s="153"/>
      <c r="L117" s="151"/>
      <c r="M117" s="153"/>
      <c r="N117" s="151"/>
      <c r="O117" s="153"/>
      <c r="P117" s="151"/>
      <c r="Q117" s="153"/>
      <c r="R117" s="151"/>
      <c r="S117" s="153"/>
      <c r="T117" s="151"/>
      <c r="U117" s="153"/>
      <c r="V117" s="151"/>
      <c r="W117" s="153"/>
      <c r="X117" s="151"/>
      <c r="Y117" s="153"/>
      <c r="Z117" s="61">
        <f t="shared" si="18"/>
        <v>0</v>
      </c>
      <c r="AA117" s="75">
        <f t="shared" si="18"/>
        <v>0</v>
      </c>
      <c r="AB117" s="151"/>
      <c r="AC117" s="153"/>
      <c r="AD117" s="151">
        <v>1800</v>
      </c>
      <c r="AE117" s="153">
        <v>1800</v>
      </c>
      <c r="AF117" s="151">
        <v>50</v>
      </c>
      <c r="AG117" s="153">
        <v>50</v>
      </c>
      <c r="AH117" s="151"/>
      <c r="AI117" s="153"/>
      <c r="AJ117" s="151"/>
      <c r="AK117" s="153"/>
      <c r="AL117" s="151"/>
      <c r="AM117" s="153"/>
      <c r="AN117" s="151"/>
      <c r="AO117" s="153"/>
      <c r="AP117" s="61">
        <f t="shared" si="19"/>
        <v>1850</v>
      </c>
      <c r="AQ117" s="75">
        <f t="shared" si="19"/>
        <v>1850</v>
      </c>
      <c r="AR117" s="150" t="s">
        <v>128</v>
      </c>
      <c r="AS117" s="21">
        <f t="shared" si="11"/>
        <v>0</v>
      </c>
      <c r="AT117" s="21">
        <f t="shared" si="12"/>
        <v>0</v>
      </c>
      <c r="AU117" s="21">
        <f t="shared" si="13"/>
        <v>0</v>
      </c>
    </row>
    <row r="118" spans="1:47" ht="26.25" x14ac:dyDescent="0.25">
      <c r="A118" s="4" t="s">
        <v>149</v>
      </c>
      <c r="B118" s="4" t="s">
        <v>87</v>
      </c>
      <c r="C118" s="5" t="s">
        <v>86</v>
      </c>
      <c r="D118" s="151">
        <f>3862+56</f>
        <v>3918</v>
      </c>
      <c r="E118" s="153">
        <v>4647</v>
      </c>
      <c r="F118" s="151"/>
      <c r="G118" s="153"/>
      <c r="H118" s="151"/>
      <c r="I118" s="153"/>
      <c r="J118" s="151"/>
      <c r="K118" s="153"/>
      <c r="L118" s="151"/>
      <c r="M118" s="153"/>
      <c r="N118" s="151"/>
      <c r="O118" s="153"/>
      <c r="P118" s="151"/>
      <c r="Q118" s="153"/>
      <c r="R118" s="151"/>
      <c r="S118" s="153"/>
      <c r="T118" s="151"/>
      <c r="U118" s="153"/>
      <c r="V118" s="151"/>
      <c r="W118" s="153"/>
      <c r="X118" s="151"/>
      <c r="Y118" s="153"/>
      <c r="Z118" s="61">
        <f t="shared" si="18"/>
        <v>3918</v>
      </c>
      <c r="AA118" s="75">
        <f t="shared" si="18"/>
        <v>4647</v>
      </c>
      <c r="AB118" s="151"/>
      <c r="AC118" s="153"/>
      <c r="AD118" s="151"/>
      <c r="AE118" s="153"/>
      <c r="AF118" s="151"/>
      <c r="AG118" s="153"/>
      <c r="AH118" s="151"/>
      <c r="AI118" s="153"/>
      <c r="AJ118" s="151"/>
      <c r="AK118" s="153"/>
      <c r="AL118" s="151"/>
      <c r="AM118" s="153"/>
      <c r="AN118" s="151"/>
      <c r="AO118" s="153"/>
      <c r="AP118" s="61">
        <f t="shared" si="19"/>
        <v>3918</v>
      </c>
      <c r="AQ118" s="75">
        <f t="shared" si="19"/>
        <v>4647</v>
      </c>
      <c r="AR118" s="150" t="s">
        <v>128</v>
      </c>
      <c r="AS118" s="21">
        <f t="shared" si="11"/>
        <v>729</v>
      </c>
      <c r="AT118" s="21">
        <f t="shared" si="12"/>
        <v>729</v>
      </c>
      <c r="AU118" s="21">
        <f t="shared" si="13"/>
        <v>0</v>
      </c>
    </row>
    <row r="119" spans="1:47" x14ac:dyDescent="0.25">
      <c r="A119" s="4" t="s">
        <v>149</v>
      </c>
      <c r="B119" s="4" t="s">
        <v>90</v>
      </c>
      <c r="C119" s="5" t="s">
        <v>86</v>
      </c>
      <c r="D119" s="151"/>
      <c r="E119" s="153"/>
      <c r="F119" s="151"/>
      <c r="G119" s="153"/>
      <c r="H119" s="151"/>
      <c r="I119" s="153"/>
      <c r="J119" s="151"/>
      <c r="K119" s="153"/>
      <c r="L119" s="151"/>
      <c r="M119" s="153"/>
      <c r="N119" s="151"/>
      <c r="O119" s="153"/>
      <c r="P119" s="151"/>
      <c r="Q119" s="153"/>
      <c r="R119" s="151"/>
      <c r="S119" s="153"/>
      <c r="T119" s="151">
        <v>2750</v>
      </c>
      <c r="U119" s="153">
        <v>2750</v>
      </c>
      <c r="V119" s="151"/>
      <c r="W119" s="153"/>
      <c r="X119" s="151"/>
      <c r="Y119" s="153"/>
      <c r="Z119" s="61">
        <f t="shared" si="18"/>
        <v>2750</v>
      </c>
      <c r="AA119" s="75">
        <f t="shared" si="18"/>
        <v>2750</v>
      </c>
      <c r="AB119" s="151"/>
      <c r="AC119" s="153"/>
      <c r="AD119" s="151"/>
      <c r="AE119" s="153"/>
      <c r="AF119" s="151"/>
      <c r="AG119" s="153"/>
      <c r="AH119" s="151"/>
      <c r="AI119" s="153"/>
      <c r="AJ119" s="151"/>
      <c r="AK119" s="153"/>
      <c r="AL119" s="151"/>
      <c r="AM119" s="153"/>
      <c r="AN119" s="151"/>
      <c r="AO119" s="153"/>
      <c r="AP119" s="61">
        <f t="shared" si="19"/>
        <v>2750</v>
      </c>
      <c r="AQ119" s="75">
        <f t="shared" si="19"/>
        <v>2750</v>
      </c>
      <c r="AR119" s="150" t="s">
        <v>128</v>
      </c>
      <c r="AS119" s="21">
        <f t="shared" si="11"/>
        <v>0</v>
      </c>
      <c r="AT119" s="21">
        <f t="shared" si="12"/>
        <v>0</v>
      </c>
      <c r="AU119" s="21">
        <f t="shared" si="13"/>
        <v>0</v>
      </c>
    </row>
    <row r="120" spans="1:47" x14ac:dyDescent="0.25">
      <c r="A120" s="4" t="s">
        <v>149</v>
      </c>
      <c r="B120" s="4" t="s">
        <v>97</v>
      </c>
      <c r="C120" s="5" t="s">
        <v>96</v>
      </c>
      <c r="D120" s="151"/>
      <c r="E120" s="153"/>
      <c r="F120" s="151">
        <v>5</v>
      </c>
      <c r="G120" s="153">
        <v>5</v>
      </c>
      <c r="H120" s="151"/>
      <c r="I120" s="153"/>
      <c r="J120" s="151"/>
      <c r="K120" s="153"/>
      <c r="L120" s="151"/>
      <c r="M120" s="153"/>
      <c r="N120" s="151"/>
      <c r="O120" s="153"/>
      <c r="P120" s="151"/>
      <c r="Q120" s="153"/>
      <c r="R120" s="151">
        <v>14040</v>
      </c>
      <c r="S120" s="153">
        <v>14040</v>
      </c>
      <c r="T120" s="151"/>
      <c r="U120" s="153"/>
      <c r="V120" s="151">
        <v>16500</v>
      </c>
      <c r="W120" s="153">
        <v>16500</v>
      </c>
      <c r="X120" s="151"/>
      <c r="Y120" s="153"/>
      <c r="Z120" s="61">
        <f t="shared" si="18"/>
        <v>30545</v>
      </c>
      <c r="AA120" s="75">
        <f t="shared" si="18"/>
        <v>30545</v>
      </c>
      <c r="AB120" s="151"/>
      <c r="AC120" s="153"/>
      <c r="AD120" s="151"/>
      <c r="AE120" s="153"/>
      <c r="AF120" s="151"/>
      <c r="AG120" s="153"/>
      <c r="AH120" s="151"/>
      <c r="AI120" s="153"/>
      <c r="AJ120" s="151"/>
      <c r="AK120" s="153"/>
      <c r="AL120" s="151"/>
      <c r="AM120" s="153"/>
      <c r="AN120" s="151"/>
      <c r="AO120" s="153"/>
      <c r="AP120" s="61">
        <f t="shared" si="19"/>
        <v>30545</v>
      </c>
      <c r="AQ120" s="75">
        <f t="shared" si="19"/>
        <v>30545</v>
      </c>
      <c r="AR120" s="150" t="s">
        <v>128</v>
      </c>
      <c r="AS120" s="21">
        <f t="shared" si="11"/>
        <v>0</v>
      </c>
      <c r="AT120" s="21">
        <f t="shared" si="12"/>
        <v>0</v>
      </c>
      <c r="AU120" s="21">
        <f t="shared" si="13"/>
        <v>0</v>
      </c>
    </row>
    <row r="121" spans="1:47" ht="26.25" x14ac:dyDescent="0.25">
      <c r="A121" s="4" t="s">
        <v>149</v>
      </c>
      <c r="B121" s="4" t="s">
        <v>157</v>
      </c>
      <c r="C121" s="5" t="s">
        <v>96</v>
      </c>
      <c r="D121" s="151"/>
      <c r="E121" s="153"/>
      <c r="F121" s="151"/>
      <c r="G121" s="153"/>
      <c r="H121" s="151"/>
      <c r="I121" s="153"/>
      <c r="J121" s="151"/>
      <c r="K121" s="153"/>
      <c r="L121" s="151"/>
      <c r="M121" s="153"/>
      <c r="N121" s="151"/>
      <c r="O121" s="153"/>
      <c r="P121" s="151"/>
      <c r="Q121" s="153"/>
      <c r="R121" s="151"/>
      <c r="S121" s="153"/>
      <c r="T121" s="151"/>
      <c r="U121" s="153"/>
      <c r="V121" s="151">
        <v>9800</v>
      </c>
      <c r="W121" s="153">
        <v>9800</v>
      </c>
      <c r="X121" s="151"/>
      <c r="Y121" s="153"/>
      <c r="Z121" s="61">
        <f t="shared" si="18"/>
        <v>9800</v>
      </c>
      <c r="AA121" s="75">
        <f t="shared" si="18"/>
        <v>9800</v>
      </c>
      <c r="AB121" s="151"/>
      <c r="AC121" s="153"/>
      <c r="AD121" s="151"/>
      <c r="AE121" s="153"/>
      <c r="AF121" s="151"/>
      <c r="AG121" s="153"/>
      <c r="AH121" s="151"/>
      <c r="AI121" s="153"/>
      <c r="AJ121" s="151"/>
      <c r="AK121" s="153"/>
      <c r="AL121" s="151"/>
      <c r="AM121" s="153"/>
      <c r="AN121" s="151"/>
      <c r="AO121" s="153"/>
      <c r="AP121" s="61">
        <f t="shared" si="19"/>
        <v>9800</v>
      </c>
      <c r="AQ121" s="75">
        <f t="shared" si="19"/>
        <v>9800</v>
      </c>
      <c r="AR121" s="150" t="s">
        <v>128</v>
      </c>
      <c r="AS121" s="21">
        <f t="shared" si="11"/>
        <v>0</v>
      </c>
      <c r="AT121" s="21">
        <f t="shared" si="12"/>
        <v>0</v>
      </c>
      <c r="AU121" s="21">
        <f t="shared" si="13"/>
        <v>0</v>
      </c>
    </row>
    <row r="122" spans="1:47" ht="30" x14ac:dyDescent="0.25">
      <c r="A122" s="4" t="s">
        <v>149</v>
      </c>
      <c r="B122" s="4" t="s">
        <v>103</v>
      </c>
      <c r="C122" s="5" t="s">
        <v>104</v>
      </c>
      <c r="D122" s="151"/>
      <c r="E122" s="153"/>
      <c r="F122" s="151">
        <v>209</v>
      </c>
      <c r="G122" s="153">
        <v>200</v>
      </c>
      <c r="H122" s="151">
        <v>1715</v>
      </c>
      <c r="I122" s="153">
        <v>1715</v>
      </c>
      <c r="J122" s="151">
        <v>25</v>
      </c>
      <c r="K122" s="153">
        <v>25</v>
      </c>
      <c r="L122" s="151">
        <v>210</v>
      </c>
      <c r="M122" s="153">
        <v>200</v>
      </c>
      <c r="N122" s="151">
        <v>20</v>
      </c>
      <c r="O122" s="153">
        <v>20</v>
      </c>
      <c r="P122" s="151"/>
      <c r="Q122" s="153"/>
      <c r="R122" s="151">
        <v>1400</v>
      </c>
      <c r="S122" s="153">
        <v>1400</v>
      </c>
      <c r="T122" s="151"/>
      <c r="U122" s="153"/>
      <c r="V122" s="151"/>
      <c r="W122" s="153"/>
      <c r="X122" s="151"/>
      <c r="Y122" s="153"/>
      <c r="Z122" s="61">
        <f t="shared" si="18"/>
        <v>3579</v>
      </c>
      <c r="AA122" s="75">
        <f t="shared" si="18"/>
        <v>3560</v>
      </c>
      <c r="AB122" s="151"/>
      <c r="AC122" s="153"/>
      <c r="AD122" s="151">
        <v>490</v>
      </c>
      <c r="AE122" s="153">
        <v>480</v>
      </c>
      <c r="AF122" s="151">
        <v>550</v>
      </c>
      <c r="AG122" s="153">
        <v>450</v>
      </c>
      <c r="AH122" s="151"/>
      <c r="AI122" s="153"/>
      <c r="AJ122" s="151"/>
      <c r="AK122" s="153"/>
      <c r="AL122" s="151"/>
      <c r="AM122" s="153"/>
      <c r="AN122" s="151"/>
      <c r="AO122" s="153"/>
      <c r="AP122" s="61">
        <f t="shared" si="19"/>
        <v>4619</v>
      </c>
      <c r="AQ122" s="75">
        <f t="shared" si="19"/>
        <v>4490</v>
      </c>
      <c r="AR122" s="150" t="s">
        <v>102</v>
      </c>
      <c r="AS122" s="21">
        <f t="shared" si="11"/>
        <v>-129</v>
      </c>
      <c r="AT122" s="21">
        <f t="shared" si="12"/>
        <v>0</v>
      </c>
      <c r="AU122" s="21">
        <f t="shared" si="13"/>
        <v>-129</v>
      </c>
    </row>
    <row r="123" spans="1:47" ht="30" x14ac:dyDescent="0.25">
      <c r="A123" s="4" t="s">
        <v>149</v>
      </c>
      <c r="B123" s="4" t="s">
        <v>158</v>
      </c>
      <c r="C123" s="5" t="s">
        <v>104</v>
      </c>
      <c r="D123" s="151"/>
      <c r="E123" s="153"/>
      <c r="F123" s="151"/>
      <c r="G123" s="153"/>
      <c r="H123" s="151">
        <v>760</v>
      </c>
      <c r="I123" s="153">
        <v>760</v>
      </c>
      <c r="J123" s="151"/>
      <c r="K123" s="153"/>
      <c r="L123" s="151"/>
      <c r="M123" s="153"/>
      <c r="N123" s="151"/>
      <c r="O123" s="153"/>
      <c r="P123" s="151"/>
      <c r="Q123" s="153"/>
      <c r="R123" s="151"/>
      <c r="S123" s="153"/>
      <c r="T123" s="151"/>
      <c r="U123" s="153"/>
      <c r="V123" s="151"/>
      <c r="W123" s="153"/>
      <c r="X123" s="151"/>
      <c r="Y123" s="153"/>
      <c r="Z123" s="61">
        <f t="shared" si="18"/>
        <v>760</v>
      </c>
      <c r="AA123" s="75">
        <f t="shared" si="18"/>
        <v>760</v>
      </c>
      <c r="AB123" s="151"/>
      <c r="AC123" s="153"/>
      <c r="AD123" s="151">
        <v>550</v>
      </c>
      <c r="AE123" s="153">
        <v>200</v>
      </c>
      <c r="AF123" s="151">
        <v>150</v>
      </c>
      <c r="AG123" s="153">
        <v>100</v>
      </c>
      <c r="AH123" s="151"/>
      <c r="AI123" s="153"/>
      <c r="AJ123" s="151"/>
      <c r="AK123" s="153"/>
      <c r="AL123" s="151"/>
      <c r="AM123" s="153"/>
      <c r="AN123" s="151"/>
      <c r="AO123" s="153"/>
      <c r="AP123" s="61">
        <f t="shared" si="19"/>
        <v>1460</v>
      </c>
      <c r="AQ123" s="75">
        <f t="shared" si="19"/>
        <v>1060</v>
      </c>
      <c r="AR123" s="150" t="s">
        <v>102</v>
      </c>
      <c r="AS123" s="21">
        <f t="shared" si="11"/>
        <v>-400</v>
      </c>
      <c r="AT123" s="21">
        <f t="shared" si="12"/>
        <v>0</v>
      </c>
      <c r="AU123" s="21">
        <f t="shared" si="13"/>
        <v>-400</v>
      </c>
    </row>
    <row r="124" spans="1:47" ht="30" x14ac:dyDescent="0.25">
      <c r="A124" s="4" t="s">
        <v>149</v>
      </c>
      <c r="B124" s="4" t="s">
        <v>159</v>
      </c>
      <c r="C124" s="6" t="s">
        <v>104</v>
      </c>
      <c r="D124" s="151"/>
      <c r="E124" s="153"/>
      <c r="F124" s="151">
        <v>68</v>
      </c>
      <c r="G124" s="153">
        <v>68</v>
      </c>
      <c r="H124" s="151"/>
      <c r="I124" s="153"/>
      <c r="J124" s="151">
        <v>210</v>
      </c>
      <c r="K124" s="153">
        <v>210</v>
      </c>
      <c r="L124" s="151">
        <v>340</v>
      </c>
      <c r="M124" s="153">
        <v>340</v>
      </c>
      <c r="N124" s="151">
        <v>24</v>
      </c>
      <c r="O124" s="153">
        <v>24</v>
      </c>
      <c r="P124" s="151">
        <v>1125</v>
      </c>
      <c r="Q124" s="153">
        <v>1125</v>
      </c>
      <c r="R124" s="151">
        <v>200</v>
      </c>
      <c r="S124" s="153">
        <v>10</v>
      </c>
      <c r="T124" s="151"/>
      <c r="U124" s="153"/>
      <c r="V124" s="151"/>
      <c r="W124" s="153"/>
      <c r="X124" s="151"/>
      <c r="Y124" s="153"/>
      <c r="Z124" s="61">
        <f t="shared" si="18"/>
        <v>1967</v>
      </c>
      <c r="AA124" s="75">
        <f t="shared" si="18"/>
        <v>1777</v>
      </c>
      <c r="AB124" s="151"/>
      <c r="AC124" s="153"/>
      <c r="AD124" s="151">
        <v>326</v>
      </c>
      <c r="AE124" s="153">
        <v>326</v>
      </c>
      <c r="AF124" s="151">
        <v>495</v>
      </c>
      <c r="AG124" s="153">
        <v>490</v>
      </c>
      <c r="AH124" s="151"/>
      <c r="AI124" s="153"/>
      <c r="AJ124" s="151"/>
      <c r="AK124" s="153"/>
      <c r="AL124" s="151"/>
      <c r="AM124" s="153"/>
      <c r="AN124" s="151"/>
      <c r="AO124" s="153"/>
      <c r="AP124" s="61">
        <f t="shared" si="19"/>
        <v>2788</v>
      </c>
      <c r="AQ124" s="75">
        <f t="shared" si="19"/>
        <v>2593</v>
      </c>
      <c r="AR124" s="150" t="s">
        <v>102</v>
      </c>
      <c r="AS124" s="21">
        <f t="shared" si="11"/>
        <v>-195</v>
      </c>
      <c r="AT124" s="21">
        <f t="shared" si="12"/>
        <v>0</v>
      </c>
      <c r="AU124" s="21">
        <f t="shared" si="13"/>
        <v>-195</v>
      </c>
    </row>
    <row r="125" spans="1:47" x14ac:dyDescent="0.25">
      <c r="A125" s="4" t="s">
        <v>149</v>
      </c>
      <c r="B125" s="4" t="s">
        <v>160</v>
      </c>
      <c r="C125" s="5" t="s">
        <v>60</v>
      </c>
      <c r="D125" s="151"/>
      <c r="E125" s="153"/>
      <c r="F125" s="151"/>
      <c r="G125" s="153"/>
      <c r="H125" s="151"/>
      <c r="I125" s="153"/>
      <c r="J125" s="151"/>
      <c r="K125" s="153"/>
      <c r="L125" s="151">
        <v>1035</v>
      </c>
      <c r="M125" s="153">
        <v>1035</v>
      </c>
      <c r="N125" s="151"/>
      <c r="O125" s="153"/>
      <c r="P125" s="151">
        <v>6040</v>
      </c>
      <c r="Q125" s="153">
        <v>6050</v>
      </c>
      <c r="R125" s="151"/>
      <c r="S125" s="153"/>
      <c r="T125" s="151"/>
      <c r="U125" s="153"/>
      <c r="V125" s="151"/>
      <c r="W125" s="153"/>
      <c r="X125" s="151"/>
      <c r="Y125" s="153"/>
      <c r="Z125" s="61">
        <f t="shared" si="18"/>
        <v>7075</v>
      </c>
      <c r="AA125" s="75">
        <f t="shared" si="18"/>
        <v>7085</v>
      </c>
      <c r="AB125" s="151"/>
      <c r="AC125" s="153"/>
      <c r="AD125" s="151">
        <v>2160</v>
      </c>
      <c r="AE125" s="153">
        <v>2160</v>
      </c>
      <c r="AF125" s="151">
        <v>1250</v>
      </c>
      <c r="AG125" s="153">
        <v>1000</v>
      </c>
      <c r="AH125" s="151"/>
      <c r="AI125" s="153"/>
      <c r="AJ125" s="151"/>
      <c r="AK125" s="153"/>
      <c r="AL125" s="151"/>
      <c r="AM125" s="153"/>
      <c r="AN125" s="151"/>
      <c r="AO125" s="153"/>
      <c r="AP125" s="61">
        <f t="shared" si="19"/>
        <v>10485</v>
      </c>
      <c r="AQ125" s="75">
        <f t="shared" si="19"/>
        <v>10245</v>
      </c>
      <c r="AR125" s="150" t="s">
        <v>161</v>
      </c>
      <c r="AS125" s="21">
        <f t="shared" si="11"/>
        <v>-240</v>
      </c>
      <c r="AT125" s="21">
        <f t="shared" si="12"/>
        <v>0</v>
      </c>
      <c r="AU125" s="21">
        <f t="shared" si="13"/>
        <v>-240</v>
      </c>
    </row>
    <row r="126" spans="1:47" x14ac:dyDescent="0.25">
      <c r="A126" s="4" t="s">
        <v>149</v>
      </c>
      <c r="B126" s="4" t="s">
        <v>162</v>
      </c>
      <c r="C126" s="5" t="s">
        <v>60</v>
      </c>
      <c r="D126" s="151"/>
      <c r="E126" s="153"/>
      <c r="F126" s="151"/>
      <c r="G126" s="153"/>
      <c r="H126" s="151"/>
      <c r="I126" s="153"/>
      <c r="J126" s="151"/>
      <c r="K126" s="153"/>
      <c r="L126" s="151"/>
      <c r="M126" s="153"/>
      <c r="N126" s="151">
        <v>400</v>
      </c>
      <c r="O126" s="153">
        <v>440</v>
      </c>
      <c r="P126" s="151"/>
      <c r="Q126" s="153"/>
      <c r="R126" s="151">
        <v>550</v>
      </c>
      <c r="S126" s="153">
        <v>550</v>
      </c>
      <c r="T126" s="151"/>
      <c r="U126" s="153"/>
      <c r="V126" s="151"/>
      <c r="W126" s="153"/>
      <c r="X126" s="151"/>
      <c r="Y126" s="153"/>
      <c r="Z126" s="61">
        <f t="shared" si="18"/>
        <v>950</v>
      </c>
      <c r="AA126" s="75">
        <f t="shared" si="18"/>
        <v>990</v>
      </c>
      <c r="AB126" s="151"/>
      <c r="AC126" s="153"/>
      <c r="AD126" s="151">
        <v>10055</v>
      </c>
      <c r="AE126" s="153">
        <v>10055</v>
      </c>
      <c r="AF126" s="151">
        <v>5850</v>
      </c>
      <c r="AG126" s="153">
        <v>5850</v>
      </c>
      <c r="AH126" s="151"/>
      <c r="AI126" s="153"/>
      <c r="AJ126" s="151"/>
      <c r="AK126" s="153"/>
      <c r="AL126" s="151"/>
      <c r="AM126" s="153"/>
      <c r="AN126" s="151"/>
      <c r="AO126" s="153"/>
      <c r="AP126" s="61">
        <f t="shared" si="19"/>
        <v>16855</v>
      </c>
      <c r="AQ126" s="75">
        <f t="shared" si="19"/>
        <v>16895</v>
      </c>
      <c r="AR126" s="150" t="s">
        <v>163</v>
      </c>
      <c r="AS126" s="21">
        <f t="shared" si="11"/>
        <v>40</v>
      </c>
      <c r="AT126" s="21">
        <f t="shared" si="12"/>
        <v>0</v>
      </c>
      <c r="AU126" s="21">
        <f t="shared" si="13"/>
        <v>40</v>
      </c>
    </row>
    <row r="127" spans="1:47" x14ac:dyDescent="0.25">
      <c r="A127" s="4" t="s">
        <v>149</v>
      </c>
      <c r="B127" s="4" t="s">
        <v>164</v>
      </c>
      <c r="C127" s="7" t="s">
        <v>165</v>
      </c>
      <c r="D127" s="151"/>
      <c r="E127" s="153"/>
      <c r="F127" s="151"/>
      <c r="G127" s="153"/>
      <c r="H127" s="151">
        <v>1800</v>
      </c>
      <c r="I127" s="153">
        <v>1800</v>
      </c>
      <c r="J127" s="151"/>
      <c r="K127" s="153"/>
      <c r="L127" s="151"/>
      <c r="M127" s="153"/>
      <c r="N127" s="151"/>
      <c r="O127" s="153"/>
      <c r="P127" s="151"/>
      <c r="Q127" s="153"/>
      <c r="R127" s="151"/>
      <c r="S127" s="153"/>
      <c r="T127" s="151"/>
      <c r="U127" s="153"/>
      <c r="V127" s="151"/>
      <c r="W127" s="153"/>
      <c r="X127" s="151"/>
      <c r="Y127" s="153"/>
      <c r="Z127" s="61">
        <f t="shared" si="18"/>
        <v>1800</v>
      </c>
      <c r="AA127" s="75">
        <f t="shared" si="18"/>
        <v>1800</v>
      </c>
      <c r="AB127" s="151"/>
      <c r="AC127" s="153"/>
      <c r="AD127" s="151">
        <v>7980</v>
      </c>
      <c r="AE127" s="153">
        <v>7980</v>
      </c>
      <c r="AF127" s="151"/>
      <c r="AG127" s="153"/>
      <c r="AH127" s="151"/>
      <c r="AI127" s="153"/>
      <c r="AJ127" s="151"/>
      <c r="AK127" s="153"/>
      <c r="AL127" s="151"/>
      <c r="AM127" s="153"/>
      <c r="AN127" s="151"/>
      <c r="AO127" s="153"/>
      <c r="AP127" s="61">
        <f t="shared" si="19"/>
        <v>9780</v>
      </c>
      <c r="AQ127" s="75">
        <f t="shared" si="19"/>
        <v>9780</v>
      </c>
      <c r="AR127" s="150" t="s">
        <v>166</v>
      </c>
      <c r="AS127" s="21">
        <f t="shared" si="11"/>
        <v>0</v>
      </c>
      <c r="AT127" s="21">
        <f t="shared" si="12"/>
        <v>0</v>
      </c>
      <c r="AU127" s="21">
        <f t="shared" si="13"/>
        <v>0</v>
      </c>
    </row>
    <row r="128" spans="1:47" ht="26.25" x14ac:dyDescent="0.25">
      <c r="A128" s="4" t="s">
        <v>149</v>
      </c>
      <c r="B128" s="4" t="s">
        <v>65</v>
      </c>
      <c r="C128" s="6" t="s">
        <v>60</v>
      </c>
      <c r="D128" s="151">
        <v>147776</v>
      </c>
      <c r="E128" s="153">
        <v>161374</v>
      </c>
      <c r="F128" s="151">
        <v>15</v>
      </c>
      <c r="G128" s="153">
        <v>15</v>
      </c>
      <c r="H128" s="151"/>
      <c r="I128" s="153"/>
      <c r="J128" s="151"/>
      <c r="K128" s="153"/>
      <c r="L128" s="151"/>
      <c r="M128" s="153"/>
      <c r="N128" s="151"/>
      <c r="O128" s="153"/>
      <c r="P128" s="151"/>
      <c r="Q128" s="153"/>
      <c r="R128" s="151">
        <v>2550</v>
      </c>
      <c r="S128" s="153">
        <v>2550</v>
      </c>
      <c r="T128" s="151"/>
      <c r="U128" s="153"/>
      <c r="V128" s="151"/>
      <c r="W128" s="153"/>
      <c r="X128" s="151"/>
      <c r="Y128" s="153"/>
      <c r="Z128" s="61">
        <f t="shared" si="18"/>
        <v>150341</v>
      </c>
      <c r="AA128" s="75">
        <f t="shared" si="18"/>
        <v>163939</v>
      </c>
      <c r="AB128" s="151"/>
      <c r="AC128" s="153"/>
      <c r="AD128" s="151">
        <v>3150</v>
      </c>
      <c r="AE128" s="153">
        <v>3150</v>
      </c>
      <c r="AF128" s="151">
        <v>7150</v>
      </c>
      <c r="AG128" s="153">
        <v>7150</v>
      </c>
      <c r="AH128" s="151"/>
      <c r="AI128" s="153"/>
      <c r="AJ128" s="151"/>
      <c r="AK128" s="153"/>
      <c r="AL128" s="151"/>
      <c r="AM128" s="153"/>
      <c r="AN128" s="151">
        <v>250</v>
      </c>
      <c r="AO128" s="153">
        <v>250</v>
      </c>
      <c r="AP128" s="61">
        <f t="shared" si="19"/>
        <v>160891</v>
      </c>
      <c r="AQ128" s="75">
        <f t="shared" si="19"/>
        <v>174489</v>
      </c>
      <c r="AR128" s="150" t="s">
        <v>167</v>
      </c>
      <c r="AS128" s="21">
        <f t="shared" si="11"/>
        <v>13598</v>
      </c>
      <c r="AT128" s="21">
        <f t="shared" si="12"/>
        <v>13598</v>
      </c>
      <c r="AU128" s="21">
        <f t="shared" si="13"/>
        <v>0</v>
      </c>
    </row>
    <row r="129" spans="1:47" ht="26.25" x14ac:dyDescent="0.25">
      <c r="A129" s="4" t="s">
        <v>149</v>
      </c>
      <c r="B129" s="4" t="s">
        <v>168</v>
      </c>
      <c r="C129" s="5" t="s">
        <v>60</v>
      </c>
      <c r="D129" s="151"/>
      <c r="E129" s="153"/>
      <c r="F129" s="151"/>
      <c r="G129" s="153"/>
      <c r="H129" s="151"/>
      <c r="I129" s="153"/>
      <c r="J129" s="151"/>
      <c r="K129" s="153"/>
      <c r="L129" s="151">
        <v>490</v>
      </c>
      <c r="M129" s="153">
        <v>408</v>
      </c>
      <c r="N129" s="151"/>
      <c r="O129" s="153"/>
      <c r="P129" s="151"/>
      <c r="Q129" s="153"/>
      <c r="R129" s="151"/>
      <c r="S129" s="153"/>
      <c r="T129" s="151"/>
      <c r="U129" s="153"/>
      <c r="V129" s="151"/>
      <c r="W129" s="153"/>
      <c r="X129" s="151"/>
      <c r="Y129" s="153"/>
      <c r="Z129" s="61">
        <f t="shared" si="18"/>
        <v>490</v>
      </c>
      <c r="AA129" s="75">
        <f t="shared" si="18"/>
        <v>408</v>
      </c>
      <c r="AB129" s="151"/>
      <c r="AC129" s="153"/>
      <c r="AD129" s="151">
        <v>1050</v>
      </c>
      <c r="AE129" s="153">
        <v>1050</v>
      </c>
      <c r="AF129" s="151">
        <v>960</v>
      </c>
      <c r="AG129" s="153">
        <v>960</v>
      </c>
      <c r="AH129" s="151"/>
      <c r="AI129" s="153"/>
      <c r="AJ129" s="151"/>
      <c r="AK129" s="153"/>
      <c r="AL129" s="151"/>
      <c r="AM129" s="153"/>
      <c r="AN129" s="151"/>
      <c r="AO129" s="153"/>
      <c r="AP129" s="61">
        <f t="shared" si="19"/>
        <v>2500</v>
      </c>
      <c r="AQ129" s="75">
        <f t="shared" si="19"/>
        <v>2418</v>
      </c>
      <c r="AR129" s="150" t="s">
        <v>169</v>
      </c>
      <c r="AS129" s="21">
        <f t="shared" si="11"/>
        <v>-82</v>
      </c>
      <c r="AT129" s="21">
        <f t="shared" si="12"/>
        <v>0</v>
      </c>
      <c r="AU129" s="21">
        <f t="shared" si="13"/>
        <v>-82</v>
      </c>
    </row>
    <row r="130" spans="1:47" x14ac:dyDescent="0.25">
      <c r="A130" s="4" t="s">
        <v>149</v>
      </c>
      <c r="B130" s="4" t="s">
        <v>170</v>
      </c>
      <c r="C130" s="5" t="s">
        <v>60</v>
      </c>
      <c r="D130" s="151"/>
      <c r="E130" s="153"/>
      <c r="F130" s="151"/>
      <c r="G130" s="153"/>
      <c r="H130" s="151"/>
      <c r="I130" s="153"/>
      <c r="J130" s="151"/>
      <c r="K130" s="153"/>
      <c r="L130" s="151">
        <v>35</v>
      </c>
      <c r="M130" s="153">
        <v>35</v>
      </c>
      <c r="N130" s="151">
        <v>288</v>
      </c>
      <c r="O130" s="153">
        <v>316</v>
      </c>
      <c r="P130" s="151"/>
      <c r="Q130" s="153"/>
      <c r="R130" s="151"/>
      <c r="S130" s="153"/>
      <c r="T130" s="151"/>
      <c r="U130" s="153"/>
      <c r="V130" s="151"/>
      <c r="W130" s="153"/>
      <c r="X130" s="151"/>
      <c r="Y130" s="153"/>
      <c r="Z130" s="61">
        <f t="shared" si="18"/>
        <v>323</v>
      </c>
      <c r="AA130" s="75">
        <f t="shared" si="18"/>
        <v>351</v>
      </c>
      <c r="AB130" s="151"/>
      <c r="AC130" s="153"/>
      <c r="AD130" s="151">
        <v>3250</v>
      </c>
      <c r="AE130" s="153">
        <v>3250</v>
      </c>
      <c r="AF130" s="151">
        <v>230</v>
      </c>
      <c r="AG130" s="153">
        <v>230</v>
      </c>
      <c r="AH130" s="151"/>
      <c r="AI130" s="153"/>
      <c r="AJ130" s="151"/>
      <c r="AK130" s="153"/>
      <c r="AL130" s="151"/>
      <c r="AM130" s="153"/>
      <c r="AN130" s="151"/>
      <c r="AO130" s="153"/>
      <c r="AP130" s="61">
        <f t="shared" si="19"/>
        <v>3803</v>
      </c>
      <c r="AQ130" s="75">
        <f t="shared" si="19"/>
        <v>3831</v>
      </c>
      <c r="AR130" s="150"/>
      <c r="AS130" s="21">
        <f t="shared" si="11"/>
        <v>28</v>
      </c>
      <c r="AT130" s="21">
        <f t="shared" si="12"/>
        <v>0</v>
      </c>
      <c r="AU130" s="21">
        <f t="shared" si="13"/>
        <v>28</v>
      </c>
    </row>
    <row r="131" spans="1:47" x14ac:dyDescent="0.25">
      <c r="A131" s="4" t="s">
        <v>149</v>
      </c>
      <c r="B131" s="4" t="s">
        <v>172</v>
      </c>
      <c r="C131" s="7" t="s">
        <v>542</v>
      </c>
      <c r="D131" s="151"/>
      <c r="E131" s="153"/>
      <c r="F131" s="151"/>
      <c r="G131" s="153"/>
      <c r="H131" s="151"/>
      <c r="I131" s="153"/>
      <c r="J131" s="151"/>
      <c r="K131" s="153"/>
      <c r="L131" s="151"/>
      <c r="M131" s="153"/>
      <c r="N131" s="151"/>
      <c r="O131" s="153"/>
      <c r="P131" s="151"/>
      <c r="Q131" s="153"/>
      <c r="R131" s="151"/>
      <c r="S131" s="153"/>
      <c r="T131" s="151"/>
      <c r="U131" s="153"/>
      <c r="V131" s="151"/>
      <c r="W131" s="153"/>
      <c r="X131" s="151"/>
      <c r="Y131" s="153"/>
      <c r="Z131" s="61">
        <f t="shared" si="18"/>
        <v>0</v>
      </c>
      <c r="AA131" s="75">
        <f t="shared" si="18"/>
        <v>0</v>
      </c>
      <c r="AB131" s="151"/>
      <c r="AC131" s="153"/>
      <c r="AD131" s="151">
        <v>950</v>
      </c>
      <c r="AE131" s="153">
        <v>300</v>
      </c>
      <c r="AF131" s="151"/>
      <c r="AG131" s="153"/>
      <c r="AH131" s="151"/>
      <c r="AI131" s="153"/>
      <c r="AJ131" s="151"/>
      <c r="AK131" s="153"/>
      <c r="AL131" s="151"/>
      <c r="AM131" s="153"/>
      <c r="AN131" s="151"/>
      <c r="AO131" s="153"/>
      <c r="AP131" s="61">
        <f t="shared" si="19"/>
        <v>950</v>
      </c>
      <c r="AQ131" s="75">
        <f t="shared" si="19"/>
        <v>300</v>
      </c>
      <c r="AR131" s="150"/>
      <c r="AS131" s="21">
        <f t="shared" si="11"/>
        <v>-650</v>
      </c>
      <c r="AT131" s="21">
        <f t="shared" si="12"/>
        <v>0</v>
      </c>
      <c r="AU131" s="21">
        <f t="shared" si="13"/>
        <v>-650</v>
      </c>
    </row>
    <row r="132" spans="1:47" ht="30" x14ac:dyDescent="0.25">
      <c r="A132" s="4" t="s">
        <v>149</v>
      </c>
      <c r="B132" s="4" t="s">
        <v>100</v>
      </c>
      <c r="C132" s="5" t="s">
        <v>101</v>
      </c>
      <c r="D132" s="151"/>
      <c r="E132" s="153"/>
      <c r="F132" s="151"/>
      <c r="G132" s="153"/>
      <c r="H132" s="151"/>
      <c r="I132" s="153"/>
      <c r="J132" s="151"/>
      <c r="K132" s="153"/>
      <c r="L132" s="151"/>
      <c r="M132" s="153"/>
      <c r="N132" s="151"/>
      <c r="O132" s="153"/>
      <c r="P132" s="151"/>
      <c r="Q132" s="153"/>
      <c r="R132" s="151"/>
      <c r="S132" s="153"/>
      <c r="T132" s="151"/>
      <c r="U132" s="153"/>
      <c r="V132" s="151"/>
      <c r="W132" s="153"/>
      <c r="X132" s="151"/>
      <c r="Y132" s="153"/>
      <c r="Z132" s="61">
        <f t="shared" si="18"/>
        <v>0</v>
      </c>
      <c r="AA132" s="75">
        <f t="shared" si="18"/>
        <v>0</v>
      </c>
      <c r="AB132" s="151"/>
      <c r="AC132" s="153"/>
      <c r="AD132" s="151"/>
      <c r="AE132" s="153"/>
      <c r="AF132" s="151"/>
      <c r="AG132" s="153"/>
      <c r="AH132" s="151"/>
      <c r="AI132" s="153"/>
      <c r="AJ132" s="151"/>
      <c r="AK132" s="153"/>
      <c r="AL132" s="151">
        <v>17265</v>
      </c>
      <c r="AM132" s="153">
        <v>17265</v>
      </c>
      <c r="AN132" s="151"/>
      <c r="AO132" s="153"/>
      <c r="AP132" s="61">
        <f t="shared" si="19"/>
        <v>17265</v>
      </c>
      <c r="AQ132" s="75">
        <f t="shared" si="19"/>
        <v>17265</v>
      </c>
      <c r="AR132" s="150" t="s">
        <v>102</v>
      </c>
      <c r="AS132" s="21">
        <f t="shared" si="11"/>
        <v>0</v>
      </c>
      <c r="AT132" s="21">
        <f t="shared" si="12"/>
        <v>0</v>
      </c>
      <c r="AU132" s="21">
        <f t="shared" si="13"/>
        <v>0</v>
      </c>
    </row>
    <row r="133" spans="1:47" x14ac:dyDescent="0.25">
      <c r="A133" s="4" t="s">
        <v>149</v>
      </c>
      <c r="B133" s="4" t="s">
        <v>105</v>
      </c>
      <c r="C133" s="5"/>
      <c r="D133" s="151">
        <v>8530</v>
      </c>
      <c r="E133" s="153">
        <v>8937</v>
      </c>
      <c r="F133" s="151"/>
      <c r="G133" s="153"/>
      <c r="H133" s="151"/>
      <c r="I133" s="153"/>
      <c r="J133" s="151"/>
      <c r="K133" s="153"/>
      <c r="L133" s="151"/>
      <c r="M133" s="153"/>
      <c r="N133" s="151"/>
      <c r="O133" s="153"/>
      <c r="P133" s="151"/>
      <c r="Q133" s="153"/>
      <c r="R133" s="151"/>
      <c r="S133" s="153"/>
      <c r="T133" s="151"/>
      <c r="U133" s="153"/>
      <c r="V133" s="151"/>
      <c r="W133" s="153"/>
      <c r="X133" s="151"/>
      <c r="Y133" s="153"/>
      <c r="Z133" s="61">
        <f t="shared" si="18"/>
        <v>8530</v>
      </c>
      <c r="AA133" s="75">
        <f t="shared" si="18"/>
        <v>8937</v>
      </c>
      <c r="AB133" s="151"/>
      <c r="AC133" s="153"/>
      <c r="AD133" s="151"/>
      <c r="AE133" s="153"/>
      <c r="AF133" s="151"/>
      <c r="AG133" s="153"/>
      <c r="AH133" s="151"/>
      <c r="AI133" s="153"/>
      <c r="AJ133" s="151"/>
      <c r="AK133" s="153"/>
      <c r="AL133" s="151"/>
      <c r="AM133" s="153"/>
      <c r="AN133" s="151"/>
      <c r="AO133" s="153"/>
      <c r="AP133" s="61">
        <f t="shared" si="19"/>
        <v>8530</v>
      </c>
      <c r="AQ133" s="75">
        <f t="shared" si="19"/>
        <v>8937</v>
      </c>
      <c r="AR133" s="150" t="s">
        <v>58</v>
      </c>
      <c r="AS133" s="21">
        <f t="shared" si="11"/>
        <v>407</v>
      </c>
      <c r="AT133" s="21">
        <f t="shared" si="12"/>
        <v>407</v>
      </c>
      <c r="AU133" s="21">
        <f t="shared" si="13"/>
        <v>0</v>
      </c>
    </row>
    <row r="134" spans="1:47" x14ac:dyDescent="0.25">
      <c r="A134" s="4" t="s">
        <v>149</v>
      </c>
      <c r="B134" s="4" t="s">
        <v>106</v>
      </c>
      <c r="C134" s="5"/>
      <c r="D134" s="151">
        <v>7164</v>
      </c>
      <c r="E134" s="153">
        <v>7607</v>
      </c>
      <c r="F134" s="151"/>
      <c r="G134" s="153"/>
      <c r="H134" s="151"/>
      <c r="I134" s="153"/>
      <c r="J134" s="151"/>
      <c r="K134" s="153"/>
      <c r="L134" s="151"/>
      <c r="M134" s="153"/>
      <c r="N134" s="151"/>
      <c r="O134" s="153"/>
      <c r="P134" s="151"/>
      <c r="Q134" s="153"/>
      <c r="R134" s="151"/>
      <c r="S134" s="153"/>
      <c r="T134" s="151"/>
      <c r="U134" s="153"/>
      <c r="V134" s="151"/>
      <c r="W134" s="153"/>
      <c r="X134" s="151"/>
      <c r="Y134" s="153"/>
      <c r="Z134" s="61">
        <f t="shared" si="18"/>
        <v>7164</v>
      </c>
      <c r="AA134" s="75">
        <f t="shared" si="18"/>
        <v>7607</v>
      </c>
      <c r="AB134" s="151"/>
      <c r="AC134" s="153"/>
      <c r="AD134" s="151"/>
      <c r="AE134" s="153"/>
      <c r="AF134" s="151"/>
      <c r="AG134" s="153"/>
      <c r="AH134" s="151"/>
      <c r="AI134" s="153"/>
      <c r="AJ134" s="151"/>
      <c r="AK134" s="153"/>
      <c r="AL134" s="151"/>
      <c r="AM134" s="153"/>
      <c r="AN134" s="151"/>
      <c r="AO134" s="153"/>
      <c r="AP134" s="61">
        <f t="shared" si="19"/>
        <v>7164</v>
      </c>
      <c r="AQ134" s="75">
        <f t="shared" si="19"/>
        <v>7607</v>
      </c>
      <c r="AR134" s="150" t="s">
        <v>58</v>
      </c>
      <c r="AS134" s="21">
        <f t="shared" si="11"/>
        <v>443</v>
      </c>
      <c r="AT134" s="21">
        <f t="shared" si="12"/>
        <v>443</v>
      </c>
      <c r="AU134" s="21">
        <f t="shared" si="13"/>
        <v>0</v>
      </c>
    </row>
    <row r="135" spans="1:47" x14ac:dyDescent="0.25">
      <c r="A135" s="16" t="s">
        <v>174</v>
      </c>
      <c r="B135" s="16" t="s">
        <v>108</v>
      </c>
      <c r="C135" s="17"/>
      <c r="D135" s="18">
        <f t="shared" ref="D135:AQ135" si="20">SUM(D104:D134)</f>
        <v>415389</v>
      </c>
      <c r="E135" s="105">
        <f t="shared" si="20"/>
        <v>437467</v>
      </c>
      <c r="F135" s="18">
        <f t="shared" si="20"/>
        <v>4243</v>
      </c>
      <c r="G135" s="18">
        <f t="shared" si="20"/>
        <v>4549</v>
      </c>
      <c r="H135" s="18">
        <f t="shared" si="20"/>
        <v>37590</v>
      </c>
      <c r="I135" s="18">
        <f t="shared" si="20"/>
        <v>39000</v>
      </c>
      <c r="J135" s="18">
        <f t="shared" si="20"/>
        <v>3976</v>
      </c>
      <c r="K135" s="18">
        <f t="shared" si="20"/>
        <v>5041</v>
      </c>
      <c r="L135" s="18">
        <f t="shared" si="20"/>
        <v>19781</v>
      </c>
      <c r="M135" s="18">
        <f t="shared" si="20"/>
        <v>20107</v>
      </c>
      <c r="N135" s="18">
        <f t="shared" si="20"/>
        <v>4457</v>
      </c>
      <c r="O135" s="18">
        <f t="shared" si="20"/>
        <v>4864</v>
      </c>
      <c r="P135" s="18">
        <f t="shared" si="20"/>
        <v>11032</v>
      </c>
      <c r="Q135" s="18">
        <f t="shared" si="20"/>
        <v>11042</v>
      </c>
      <c r="R135" s="18">
        <f t="shared" si="20"/>
        <v>30266</v>
      </c>
      <c r="S135" s="18">
        <f t="shared" si="20"/>
        <v>25449</v>
      </c>
      <c r="T135" s="18">
        <f t="shared" si="20"/>
        <v>20301</v>
      </c>
      <c r="U135" s="18">
        <f t="shared" si="20"/>
        <v>20075</v>
      </c>
      <c r="V135" s="18">
        <f t="shared" si="20"/>
        <v>26300</v>
      </c>
      <c r="W135" s="18">
        <f t="shared" si="20"/>
        <v>26300</v>
      </c>
      <c r="X135" s="18">
        <f t="shared" si="20"/>
        <v>0</v>
      </c>
      <c r="Y135" s="18">
        <f t="shared" si="20"/>
        <v>0</v>
      </c>
      <c r="Z135" s="18">
        <f t="shared" si="20"/>
        <v>573335</v>
      </c>
      <c r="AA135" s="18">
        <f t="shared" si="20"/>
        <v>593894</v>
      </c>
      <c r="AB135" s="18">
        <f t="shared" si="20"/>
        <v>800</v>
      </c>
      <c r="AC135" s="18">
        <f t="shared" si="20"/>
        <v>0</v>
      </c>
      <c r="AD135" s="18">
        <f t="shared" si="20"/>
        <v>70427</v>
      </c>
      <c r="AE135" s="18">
        <f t="shared" si="20"/>
        <v>58316</v>
      </c>
      <c r="AF135" s="18">
        <f t="shared" si="20"/>
        <v>47965</v>
      </c>
      <c r="AG135" s="18">
        <f t="shared" si="20"/>
        <v>38047</v>
      </c>
      <c r="AH135" s="18">
        <f t="shared" si="20"/>
        <v>3350</v>
      </c>
      <c r="AI135" s="18">
        <f t="shared" si="20"/>
        <v>3268</v>
      </c>
      <c r="AJ135" s="18">
        <f t="shared" si="20"/>
        <v>0</v>
      </c>
      <c r="AK135" s="18">
        <f t="shared" si="20"/>
        <v>0</v>
      </c>
      <c r="AL135" s="18">
        <f t="shared" si="20"/>
        <v>18265</v>
      </c>
      <c r="AM135" s="18">
        <f t="shared" si="20"/>
        <v>17265</v>
      </c>
      <c r="AN135" s="18">
        <f t="shared" si="20"/>
        <v>365</v>
      </c>
      <c r="AO135" s="18">
        <f t="shared" si="20"/>
        <v>250</v>
      </c>
      <c r="AP135" s="18">
        <f t="shared" si="20"/>
        <v>714507</v>
      </c>
      <c r="AQ135" s="18">
        <f t="shared" si="20"/>
        <v>711040</v>
      </c>
      <c r="AR135" s="150"/>
      <c r="AS135" s="156">
        <f t="shared" si="11"/>
        <v>-3467</v>
      </c>
      <c r="AT135" s="156">
        <f t="shared" si="12"/>
        <v>22078</v>
      </c>
      <c r="AU135" s="156">
        <f t="shared" si="13"/>
        <v>-25545</v>
      </c>
    </row>
    <row r="136" spans="1:47" x14ac:dyDescent="0.25">
      <c r="A136" s="4" t="s">
        <v>175</v>
      </c>
      <c r="B136" s="4" t="s">
        <v>56</v>
      </c>
      <c r="C136" s="5" t="s">
        <v>57</v>
      </c>
      <c r="D136" s="151">
        <v>13986</v>
      </c>
      <c r="E136" s="153">
        <v>12740</v>
      </c>
      <c r="F136" s="151">
        <v>1000</v>
      </c>
      <c r="G136" s="153">
        <v>50</v>
      </c>
      <c r="H136" s="151"/>
      <c r="I136" s="153"/>
      <c r="J136" s="151">
        <v>1480</v>
      </c>
      <c r="K136" s="153">
        <v>120</v>
      </c>
      <c r="L136" s="151">
        <v>5417</v>
      </c>
      <c r="M136" s="153">
        <v>640</v>
      </c>
      <c r="N136" s="151">
        <v>470</v>
      </c>
      <c r="O136" s="153">
        <v>58</v>
      </c>
      <c r="P136" s="151">
        <v>7140</v>
      </c>
      <c r="Q136" s="153">
        <v>1088</v>
      </c>
      <c r="R136" s="151">
        <v>480</v>
      </c>
      <c r="S136" s="153">
        <v>570</v>
      </c>
      <c r="T136" s="151"/>
      <c r="U136" s="153"/>
      <c r="V136" s="151"/>
      <c r="W136" s="153"/>
      <c r="X136" s="151"/>
      <c r="Y136" s="153"/>
      <c r="Z136" s="61">
        <f t="shared" ref="Z136:AA155" si="21">D136+F136+H136+J136+L136+P136+R136+T136+V136+X136+N136</f>
        <v>29973</v>
      </c>
      <c r="AA136" s="75">
        <f t="shared" si="21"/>
        <v>15266</v>
      </c>
      <c r="AB136" s="151"/>
      <c r="AC136" s="153"/>
      <c r="AD136" s="151">
        <v>1490</v>
      </c>
      <c r="AE136" s="153">
        <v>1290</v>
      </c>
      <c r="AF136" s="151">
        <v>2030</v>
      </c>
      <c r="AG136" s="153">
        <v>1790</v>
      </c>
      <c r="AH136" s="151"/>
      <c r="AI136" s="153"/>
      <c r="AJ136" s="151"/>
      <c r="AK136" s="153"/>
      <c r="AL136" s="151"/>
      <c r="AM136" s="153"/>
      <c r="AN136" s="151"/>
      <c r="AO136" s="153"/>
      <c r="AP136" s="61">
        <f t="shared" ref="AP136:AQ155" si="22">Z136+AB136+AD136+AF136+AH136+AJ136+AL136+AN136</f>
        <v>33493</v>
      </c>
      <c r="AQ136" s="75">
        <f t="shared" si="22"/>
        <v>18346</v>
      </c>
      <c r="AR136" s="150" t="s">
        <v>58</v>
      </c>
      <c r="AS136" s="21">
        <f t="shared" si="11"/>
        <v>-15147</v>
      </c>
      <c r="AT136" s="21">
        <f t="shared" si="12"/>
        <v>-1246</v>
      </c>
      <c r="AU136" s="21">
        <f t="shared" si="13"/>
        <v>-13901</v>
      </c>
    </row>
    <row r="137" spans="1:47" ht="26.25" x14ac:dyDescent="0.25">
      <c r="A137" s="4" t="s">
        <v>175</v>
      </c>
      <c r="B137" s="4" t="s">
        <v>65</v>
      </c>
      <c r="C137" s="6" t="s">
        <v>60</v>
      </c>
      <c r="D137" s="151">
        <v>66860</v>
      </c>
      <c r="E137" s="153">
        <v>77669</v>
      </c>
      <c r="F137" s="151">
        <v>50</v>
      </c>
      <c r="G137" s="153">
        <v>85</v>
      </c>
      <c r="H137" s="151"/>
      <c r="I137" s="153"/>
      <c r="J137" s="151"/>
      <c r="K137" s="153"/>
      <c r="L137" s="151"/>
      <c r="M137" s="153">
        <v>1950</v>
      </c>
      <c r="N137" s="151">
        <v>122</v>
      </c>
      <c r="O137" s="153">
        <v>300</v>
      </c>
      <c r="P137" s="151"/>
      <c r="Q137" s="153"/>
      <c r="R137" s="151">
        <v>1624</v>
      </c>
      <c r="S137" s="153">
        <v>1200</v>
      </c>
      <c r="T137" s="151"/>
      <c r="U137" s="153"/>
      <c r="V137" s="151"/>
      <c r="W137" s="153"/>
      <c r="X137" s="151"/>
      <c r="Y137" s="153"/>
      <c r="Z137" s="61">
        <f t="shared" si="21"/>
        <v>68656</v>
      </c>
      <c r="AA137" s="75">
        <f t="shared" si="21"/>
        <v>81204</v>
      </c>
      <c r="AB137" s="151"/>
      <c r="AC137" s="153"/>
      <c r="AD137" s="151">
        <v>3000</v>
      </c>
      <c r="AE137" s="153">
        <v>2700</v>
      </c>
      <c r="AF137" s="151">
        <f>647+500</f>
        <v>1147</v>
      </c>
      <c r="AG137" s="153">
        <v>1000</v>
      </c>
      <c r="AH137" s="151"/>
      <c r="AI137" s="153"/>
      <c r="AJ137" s="151"/>
      <c r="AK137" s="153"/>
      <c r="AL137" s="151"/>
      <c r="AM137" s="153"/>
      <c r="AN137" s="151"/>
      <c r="AO137" s="153"/>
      <c r="AP137" s="61">
        <f t="shared" si="22"/>
        <v>72803</v>
      </c>
      <c r="AQ137" s="75">
        <f t="shared" si="22"/>
        <v>84904</v>
      </c>
      <c r="AR137" s="150" t="s">
        <v>61</v>
      </c>
      <c r="AS137" s="21">
        <f t="shared" ref="AS137:AS200" si="23">$AQ137-$AP137</f>
        <v>12101</v>
      </c>
      <c r="AT137" s="21">
        <f t="shared" ref="AT137:AT200" si="24">$E137-$D137</f>
        <v>10809</v>
      </c>
      <c r="AU137" s="21">
        <f t="shared" ref="AU137:AU200" si="25">AQ137-E137-AP137+D137</f>
        <v>1292</v>
      </c>
    </row>
    <row r="138" spans="1:47" ht="26.25" x14ac:dyDescent="0.25">
      <c r="A138" s="4" t="s">
        <v>175</v>
      </c>
      <c r="B138" s="4" t="s">
        <v>176</v>
      </c>
      <c r="C138" s="5" t="s">
        <v>165</v>
      </c>
      <c r="D138" s="151"/>
      <c r="E138" s="153"/>
      <c r="F138" s="151"/>
      <c r="G138" s="153"/>
      <c r="H138" s="151"/>
      <c r="I138" s="153"/>
      <c r="J138" s="151"/>
      <c r="K138" s="153"/>
      <c r="L138" s="151"/>
      <c r="M138" s="153"/>
      <c r="N138" s="151"/>
      <c r="O138" s="153"/>
      <c r="P138" s="151"/>
      <c r="Q138" s="153"/>
      <c r="R138" s="151"/>
      <c r="S138" s="153"/>
      <c r="T138" s="151"/>
      <c r="U138" s="153"/>
      <c r="V138" s="151"/>
      <c r="W138" s="153"/>
      <c r="X138" s="151"/>
      <c r="Y138" s="153"/>
      <c r="Z138" s="61">
        <f t="shared" si="21"/>
        <v>0</v>
      </c>
      <c r="AA138" s="75">
        <f t="shared" si="21"/>
        <v>0</v>
      </c>
      <c r="AB138" s="151"/>
      <c r="AC138" s="153"/>
      <c r="AD138" s="151">
        <v>1000</v>
      </c>
      <c r="AE138" s="153">
        <v>1663</v>
      </c>
      <c r="AF138" s="151"/>
      <c r="AG138" s="153"/>
      <c r="AH138" s="151"/>
      <c r="AI138" s="153"/>
      <c r="AJ138" s="151"/>
      <c r="AK138" s="153"/>
      <c r="AL138" s="151"/>
      <c r="AM138" s="153"/>
      <c r="AN138" s="151"/>
      <c r="AO138" s="153"/>
      <c r="AP138" s="61">
        <f t="shared" si="22"/>
        <v>1000</v>
      </c>
      <c r="AQ138" s="75">
        <f t="shared" si="22"/>
        <v>1663</v>
      </c>
      <c r="AR138" s="150" t="s">
        <v>177</v>
      </c>
      <c r="AS138" s="21">
        <f t="shared" si="23"/>
        <v>663</v>
      </c>
      <c r="AT138" s="21">
        <f t="shared" si="24"/>
        <v>0</v>
      </c>
      <c r="AU138" s="21">
        <f t="shared" si="25"/>
        <v>663</v>
      </c>
    </row>
    <row r="139" spans="1:47" ht="26.25" x14ac:dyDescent="0.25">
      <c r="A139" s="4" t="s">
        <v>175</v>
      </c>
      <c r="B139" s="4" t="s">
        <v>178</v>
      </c>
      <c r="C139" s="5" t="s">
        <v>60</v>
      </c>
      <c r="D139" s="151"/>
      <c r="E139" s="153"/>
      <c r="F139" s="151"/>
      <c r="G139" s="153"/>
      <c r="H139" s="151"/>
      <c r="I139" s="153"/>
      <c r="J139" s="151"/>
      <c r="K139" s="153"/>
      <c r="L139" s="151"/>
      <c r="M139" s="153"/>
      <c r="N139" s="151"/>
      <c r="O139" s="153">
        <v>400</v>
      </c>
      <c r="P139" s="151"/>
      <c r="Q139" s="153"/>
      <c r="R139" s="151"/>
      <c r="S139" s="153"/>
      <c r="T139" s="151"/>
      <c r="U139" s="153"/>
      <c r="V139" s="151"/>
      <c r="W139" s="153"/>
      <c r="X139" s="151"/>
      <c r="Y139" s="153"/>
      <c r="Z139" s="61">
        <f t="shared" si="21"/>
        <v>0</v>
      </c>
      <c r="AA139" s="75">
        <f t="shared" si="21"/>
        <v>400</v>
      </c>
      <c r="AB139" s="151"/>
      <c r="AC139" s="153"/>
      <c r="AD139" s="151">
        <v>580</v>
      </c>
      <c r="AE139" s="153">
        <v>400</v>
      </c>
      <c r="AF139" s="151"/>
      <c r="AG139" s="153">
        <v>600</v>
      </c>
      <c r="AH139" s="151"/>
      <c r="AI139" s="153"/>
      <c r="AJ139" s="151"/>
      <c r="AK139" s="153"/>
      <c r="AL139" s="151"/>
      <c r="AM139" s="153"/>
      <c r="AN139" s="151"/>
      <c r="AO139" s="153"/>
      <c r="AP139" s="61">
        <f t="shared" si="22"/>
        <v>580</v>
      </c>
      <c r="AQ139" s="75">
        <f t="shared" si="22"/>
        <v>1400</v>
      </c>
      <c r="AR139" s="150" t="s">
        <v>161</v>
      </c>
      <c r="AS139" s="21">
        <f t="shared" si="23"/>
        <v>820</v>
      </c>
      <c r="AT139" s="21">
        <f t="shared" si="24"/>
        <v>0</v>
      </c>
      <c r="AU139" s="21">
        <f t="shared" si="25"/>
        <v>820</v>
      </c>
    </row>
    <row r="140" spans="1:47" x14ac:dyDescent="0.25">
      <c r="A140" s="4" t="s">
        <v>175</v>
      </c>
      <c r="B140" s="4" t="s">
        <v>179</v>
      </c>
      <c r="C140" s="5" t="s">
        <v>67</v>
      </c>
      <c r="D140" s="151">
        <v>6582</v>
      </c>
      <c r="E140" s="153">
        <v>6763</v>
      </c>
      <c r="F140" s="151">
        <v>0</v>
      </c>
      <c r="G140" s="153"/>
      <c r="H140" s="151"/>
      <c r="I140" s="153"/>
      <c r="J140" s="151"/>
      <c r="K140" s="153">
        <v>30</v>
      </c>
      <c r="L140" s="151">
        <v>0</v>
      </c>
      <c r="M140" s="153">
        <v>162</v>
      </c>
      <c r="N140" s="151">
        <v>12</v>
      </c>
      <c r="O140" s="153">
        <v>50</v>
      </c>
      <c r="P140" s="151">
        <v>0</v>
      </c>
      <c r="Q140" s="153">
        <v>435</v>
      </c>
      <c r="R140" s="151">
        <v>300</v>
      </c>
      <c r="S140" s="153">
        <v>212</v>
      </c>
      <c r="T140" s="151"/>
      <c r="U140" s="153"/>
      <c r="V140" s="151"/>
      <c r="W140" s="153"/>
      <c r="X140" s="151"/>
      <c r="Y140" s="153"/>
      <c r="Z140" s="61">
        <f t="shared" si="21"/>
        <v>6894</v>
      </c>
      <c r="AA140" s="75">
        <f t="shared" si="21"/>
        <v>7652</v>
      </c>
      <c r="AB140" s="151"/>
      <c r="AC140" s="153"/>
      <c r="AD140" s="151">
        <v>800</v>
      </c>
      <c r="AE140" s="153">
        <v>135</v>
      </c>
      <c r="AF140" s="151">
        <v>1060</v>
      </c>
      <c r="AG140" s="153">
        <v>460</v>
      </c>
      <c r="AH140" s="151"/>
      <c r="AI140" s="153"/>
      <c r="AJ140" s="151"/>
      <c r="AK140" s="153"/>
      <c r="AL140" s="151"/>
      <c r="AM140" s="153"/>
      <c r="AN140" s="151"/>
      <c r="AO140" s="153"/>
      <c r="AP140" s="61">
        <f t="shared" si="22"/>
        <v>8754</v>
      </c>
      <c r="AQ140" s="75">
        <f t="shared" si="22"/>
        <v>8247</v>
      </c>
      <c r="AR140" s="150" t="s">
        <v>68</v>
      </c>
      <c r="AS140" s="21">
        <f t="shared" si="23"/>
        <v>-507</v>
      </c>
      <c r="AT140" s="21">
        <f t="shared" si="24"/>
        <v>181</v>
      </c>
      <c r="AU140" s="21">
        <f t="shared" si="25"/>
        <v>-688</v>
      </c>
    </row>
    <row r="141" spans="1:47" x14ac:dyDescent="0.25">
      <c r="A141" s="4" t="s">
        <v>175</v>
      </c>
      <c r="B141" s="4" t="s">
        <v>126</v>
      </c>
      <c r="C141" s="5" t="s">
        <v>73</v>
      </c>
      <c r="D141" s="151">
        <v>8279</v>
      </c>
      <c r="E141" s="153">
        <v>8973</v>
      </c>
      <c r="F141" s="151">
        <v>0</v>
      </c>
      <c r="G141" s="153">
        <v>50</v>
      </c>
      <c r="H141" s="151"/>
      <c r="I141" s="153"/>
      <c r="J141" s="151">
        <v>0</v>
      </c>
      <c r="K141" s="153">
        <v>60</v>
      </c>
      <c r="L141" s="151">
        <v>0</v>
      </c>
      <c r="M141" s="153">
        <v>405</v>
      </c>
      <c r="N141" s="151"/>
      <c r="O141" s="153">
        <v>33</v>
      </c>
      <c r="P141" s="151"/>
      <c r="Q141" s="153">
        <v>508</v>
      </c>
      <c r="R141" s="151"/>
      <c r="S141" s="153"/>
      <c r="T141" s="151"/>
      <c r="U141" s="153"/>
      <c r="V141" s="151"/>
      <c r="W141" s="153"/>
      <c r="X141" s="151"/>
      <c r="Y141" s="153"/>
      <c r="Z141" s="61">
        <f t="shared" si="21"/>
        <v>8279</v>
      </c>
      <c r="AA141" s="75">
        <f t="shared" si="21"/>
        <v>10029</v>
      </c>
      <c r="AB141" s="151">
        <v>130</v>
      </c>
      <c r="AC141" s="153">
        <v>50</v>
      </c>
      <c r="AD141" s="151">
        <v>200</v>
      </c>
      <c r="AE141" s="153">
        <v>220</v>
      </c>
      <c r="AF141" s="151">
        <v>900</v>
      </c>
      <c r="AG141" s="153">
        <v>2310</v>
      </c>
      <c r="AH141" s="151">
        <v>1342</v>
      </c>
      <c r="AI141" s="153">
        <v>1314</v>
      </c>
      <c r="AJ141" s="151"/>
      <c r="AK141" s="153"/>
      <c r="AL141" s="151"/>
      <c r="AM141" s="153"/>
      <c r="AN141" s="151"/>
      <c r="AO141" s="153"/>
      <c r="AP141" s="61">
        <f t="shared" si="22"/>
        <v>10851</v>
      </c>
      <c r="AQ141" s="75">
        <f t="shared" si="22"/>
        <v>13923</v>
      </c>
      <c r="AR141" s="150" t="s">
        <v>74</v>
      </c>
      <c r="AS141" s="21">
        <f t="shared" si="23"/>
        <v>3072</v>
      </c>
      <c r="AT141" s="21">
        <f t="shared" si="24"/>
        <v>694</v>
      </c>
      <c r="AU141" s="21">
        <f t="shared" si="25"/>
        <v>2378</v>
      </c>
    </row>
    <row r="142" spans="1:47" x14ac:dyDescent="0.25">
      <c r="A142" s="4" t="s">
        <v>175</v>
      </c>
      <c r="B142" s="4" t="s">
        <v>180</v>
      </c>
      <c r="C142" s="5" t="s">
        <v>73</v>
      </c>
      <c r="D142" s="151">
        <v>2978</v>
      </c>
      <c r="E142" s="153">
        <v>3114</v>
      </c>
      <c r="F142" s="151">
        <v>0</v>
      </c>
      <c r="G142" s="153"/>
      <c r="H142" s="151"/>
      <c r="I142" s="153"/>
      <c r="J142" s="151">
        <v>0</v>
      </c>
      <c r="K142" s="153">
        <v>30</v>
      </c>
      <c r="L142" s="151">
        <v>0</v>
      </c>
      <c r="M142" s="153">
        <v>270</v>
      </c>
      <c r="N142" s="151"/>
      <c r="O142" s="153">
        <v>35</v>
      </c>
      <c r="P142" s="151"/>
      <c r="Q142" s="153">
        <v>362</v>
      </c>
      <c r="R142" s="151">
        <v>50</v>
      </c>
      <c r="S142" s="153">
        <v>125</v>
      </c>
      <c r="T142" s="151"/>
      <c r="U142" s="153"/>
      <c r="V142" s="151"/>
      <c r="W142" s="153"/>
      <c r="X142" s="151"/>
      <c r="Y142" s="153"/>
      <c r="Z142" s="61">
        <f t="shared" si="21"/>
        <v>3028</v>
      </c>
      <c r="AA142" s="75">
        <f t="shared" si="21"/>
        <v>3936</v>
      </c>
      <c r="AB142" s="151"/>
      <c r="AC142" s="153"/>
      <c r="AD142" s="151">
        <v>700</v>
      </c>
      <c r="AE142" s="153">
        <v>750</v>
      </c>
      <c r="AF142" s="151">
        <v>1600</v>
      </c>
      <c r="AG142" s="153">
        <v>1500</v>
      </c>
      <c r="AH142" s="151"/>
      <c r="AI142" s="153"/>
      <c r="AJ142" s="151"/>
      <c r="AK142" s="153"/>
      <c r="AL142" s="151"/>
      <c r="AM142" s="153"/>
      <c r="AN142" s="151"/>
      <c r="AO142" s="153"/>
      <c r="AP142" s="61">
        <f t="shared" si="22"/>
        <v>5328</v>
      </c>
      <c r="AQ142" s="75">
        <f t="shared" si="22"/>
        <v>6186</v>
      </c>
      <c r="AR142" s="150" t="s">
        <v>74</v>
      </c>
      <c r="AS142" s="21">
        <f t="shared" si="23"/>
        <v>858</v>
      </c>
      <c r="AT142" s="21">
        <f t="shared" si="24"/>
        <v>136</v>
      </c>
      <c r="AU142" s="21">
        <f t="shared" si="25"/>
        <v>722</v>
      </c>
    </row>
    <row r="143" spans="1:47" x14ac:dyDescent="0.25">
      <c r="A143" s="4" t="s">
        <v>175</v>
      </c>
      <c r="B143" s="4" t="s">
        <v>181</v>
      </c>
      <c r="C143" s="5" t="s">
        <v>82</v>
      </c>
      <c r="D143" s="151">
        <v>25121</v>
      </c>
      <c r="E143" s="153">
        <v>17159</v>
      </c>
      <c r="F143" s="151">
        <v>0</v>
      </c>
      <c r="G143" s="153">
        <v>51</v>
      </c>
      <c r="H143" s="151"/>
      <c r="I143" s="153"/>
      <c r="J143" s="151">
        <v>0</v>
      </c>
      <c r="K143" s="153">
        <v>1000</v>
      </c>
      <c r="L143" s="151">
        <v>0</v>
      </c>
      <c r="M143" s="153">
        <v>2600</v>
      </c>
      <c r="N143" s="151">
        <v>117</v>
      </c>
      <c r="O143" s="153">
        <v>230</v>
      </c>
      <c r="P143" s="151">
        <v>0</v>
      </c>
      <c r="Q143" s="153">
        <v>4205</v>
      </c>
      <c r="R143" s="151"/>
      <c r="S143" s="153">
        <v>70</v>
      </c>
      <c r="T143" s="151">
        <v>3086</v>
      </c>
      <c r="U143" s="153">
        <v>2623</v>
      </c>
      <c r="V143" s="151"/>
      <c r="W143" s="153"/>
      <c r="X143" s="151"/>
      <c r="Y143" s="153"/>
      <c r="Z143" s="61">
        <f t="shared" si="21"/>
        <v>28324</v>
      </c>
      <c r="AA143" s="75">
        <f t="shared" si="21"/>
        <v>27938</v>
      </c>
      <c r="AB143" s="151">
        <v>50</v>
      </c>
      <c r="AC143" s="153">
        <v>0</v>
      </c>
      <c r="AD143" s="151">
        <v>3385</v>
      </c>
      <c r="AE143" s="153">
        <v>2850</v>
      </c>
      <c r="AF143" s="151">
        <v>4290</v>
      </c>
      <c r="AG143" s="153">
        <v>3250</v>
      </c>
      <c r="AH143" s="151"/>
      <c r="AI143" s="153"/>
      <c r="AJ143" s="151"/>
      <c r="AK143" s="153"/>
      <c r="AL143" s="151"/>
      <c r="AM143" s="153"/>
      <c r="AN143" s="151">
        <v>0</v>
      </c>
      <c r="AO143" s="153"/>
      <c r="AP143" s="61">
        <f t="shared" si="22"/>
        <v>36049</v>
      </c>
      <c r="AQ143" s="75">
        <f t="shared" si="22"/>
        <v>34038</v>
      </c>
      <c r="AR143" s="150" t="s">
        <v>128</v>
      </c>
      <c r="AS143" s="21">
        <f t="shared" si="23"/>
        <v>-2011</v>
      </c>
      <c r="AT143" s="21">
        <f t="shared" si="24"/>
        <v>-7962</v>
      </c>
      <c r="AU143" s="21">
        <f t="shared" si="25"/>
        <v>5951</v>
      </c>
    </row>
    <row r="144" spans="1:47" ht="26.25" x14ac:dyDescent="0.25">
      <c r="A144" s="4" t="s">
        <v>175</v>
      </c>
      <c r="B144" s="4" t="s">
        <v>83</v>
      </c>
      <c r="C144" s="5" t="s">
        <v>82</v>
      </c>
      <c r="D144" s="151">
        <f>10007+260</f>
        <v>10267</v>
      </c>
      <c r="E144" s="153">
        <v>9680</v>
      </c>
      <c r="F144" s="151"/>
      <c r="G144" s="153"/>
      <c r="H144" s="151"/>
      <c r="I144" s="153"/>
      <c r="J144" s="151"/>
      <c r="K144" s="153"/>
      <c r="L144" s="151"/>
      <c r="M144" s="153"/>
      <c r="N144" s="151"/>
      <c r="O144" s="153"/>
      <c r="P144" s="151"/>
      <c r="Q144" s="153"/>
      <c r="R144" s="151"/>
      <c r="S144" s="153"/>
      <c r="T144" s="151"/>
      <c r="U144" s="153"/>
      <c r="V144" s="151"/>
      <c r="W144" s="153"/>
      <c r="X144" s="151"/>
      <c r="Y144" s="153"/>
      <c r="Z144" s="61">
        <f t="shared" si="21"/>
        <v>10267</v>
      </c>
      <c r="AA144" s="75">
        <f t="shared" si="21"/>
        <v>9680</v>
      </c>
      <c r="AB144" s="151"/>
      <c r="AC144" s="153"/>
      <c r="AD144" s="151"/>
      <c r="AE144" s="153"/>
      <c r="AF144" s="151"/>
      <c r="AG144" s="153"/>
      <c r="AH144" s="151"/>
      <c r="AI144" s="153"/>
      <c r="AJ144" s="151"/>
      <c r="AK144" s="153"/>
      <c r="AL144" s="151"/>
      <c r="AM144" s="153"/>
      <c r="AN144" s="151"/>
      <c r="AO144" s="153"/>
      <c r="AP144" s="61">
        <f t="shared" si="22"/>
        <v>10267</v>
      </c>
      <c r="AQ144" s="75">
        <f t="shared" si="22"/>
        <v>9680</v>
      </c>
      <c r="AR144" s="150" t="s">
        <v>128</v>
      </c>
      <c r="AS144" s="21">
        <f t="shared" si="23"/>
        <v>-587</v>
      </c>
      <c r="AT144" s="21">
        <f t="shared" si="24"/>
        <v>-587</v>
      </c>
      <c r="AU144" s="21">
        <f t="shared" si="25"/>
        <v>0</v>
      </c>
    </row>
    <row r="145" spans="1:47" x14ac:dyDescent="0.25">
      <c r="A145" s="4" t="s">
        <v>175</v>
      </c>
      <c r="B145" s="4" t="s">
        <v>85</v>
      </c>
      <c r="C145" s="5" t="s">
        <v>86</v>
      </c>
      <c r="D145" s="151">
        <v>14906</v>
      </c>
      <c r="E145" s="153">
        <v>16269</v>
      </c>
      <c r="F145" s="151">
        <v>1200</v>
      </c>
      <c r="G145" s="153">
        <v>600</v>
      </c>
      <c r="H145" s="151"/>
      <c r="I145" s="153"/>
      <c r="J145" s="151">
        <v>520</v>
      </c>
      <c r="K145" s="153">
        <v>600</v>
      </c>
      <c r="L145" s="151">
        <v>6000</v>
      </c>
      <c r="M145" s="153">
        <v>5200</v>
      </c>
      <c r="N145" s="151">
        <v>290</v>
      </c>
      <c r="O145" s="153">
        <v>305</v>
      </c>
      <c r="P145" s="151">
        <v>2000</v>
      </c>
      <c r="Q145" s="153">
        <v>4350</v>
      </c>
      <c r="R145" s="151">
        <v>200</v>
      </c>
      <c r="S145" s="153">
        <v>500</v>
      </c>
      <c r="T145" s="151">
        <v>2557</v>
      </c>
      <c r="U145" s="153">
        <v>1901</v>
      </c>
      <c r="V145" s="151"/>
      <c r="W145" s="153"/>
      <c r="X145" s="151"/>
      <c r="Y145" s="153"/>
      <c r="Z145" s="61">
        <f t="shared" si="21"/>
        <v>27673</v>
      </c>
      <c r="AA145" s="75">
        <f t="shared" si="21"/>
        <v>29725</v>
      </c>
      <c r="AB145" s="151">
        <v>50</v>
      </c>
      <c r="AC145" s="153">
        <v>0</v>
      </c>
      <c r="AD145" s="151">
        <v>6200</v>
      </c>
      <c r="AE145" s="153">
        <v>4500</v>
      </c>
      <c r="AF145" s="151">
        <v>8045</v>
      </c>
      <c r="AG145" s="153">
        <v>6300</v>
      </c>
      <c r="AH145" s="151"/>
      <c r="AI145" s="153"/>
      <c r="AJ145" s="151"/>
      <c r="AK145" s="153"/>
      <c r="AL145" s="151"/>
      <c r="AM145" s="153"/>
      <c r="AN145" s="151"/>
      <c r="AO145" s="153"/>
      <c r="AP145" s="61">
        <f t="shared" si="22"/>
        <v>41968</v>
      </c>
      <c r="AQ145" s="75">
        <f t="shared" si="22"/>
        <v>40525</v>
      </c>
      <c r="AR145" s="150" t="s">
        <v>128</v>
      </c>
      <c r="AS145" s="21">
        <f t="shared" si="23"/>
        <v>-1443</v>
      </c>
      <c r="AT145" s="21">
        <f t="shared" si="24"/>
        <v>1363</v>
      </c>
      <c r="AU145" s="21">
        <f t="shared" si="25"/>
        <v>-2806</v>
      </c>
    </row>
    <row r="146" spans="1:47" ht="26.25" x14ac:dyDescent="0.25">
      <c r="A146" s="4" t="s">
        <v>175</v>
      </c>
      <c r="B146" s="4" t="s">
        <v>88</v>
      </c>
      <c r="C146" s="5" t="s">
        <v>86</v>
      </c>
      <c r="D146" s="151"/>
      <c r="E146" s="153"/>
      <c r="F146" s="151"/>
      <c r="G146" s="153"/>
      <c r="H146" s="151"/>
      <c r="I146" s="153"/>
      <c r="J146" s="151"/>
      <c r="K146" s="153"/>
      <c r="L146" s="151"/>
      <c r="M146" s="153"/>
      <c r="N146" s="151"/>
      <c r="O146" s="153"/>
      <c r="P146" s="151"/>
      <c r="Q146" s="153"/>
      <c r="R146" s="151"/>
      <c r="S146" s="153"/>
      <c r="T146" s="151">
        <v>1091</v>
      </c>
      <c r="U146" s="153">
        <v>1295</v>
      </c>
      <c r="V146" s="151"/>
      <c r="W146" s="153"/>
      <c r="X146" s="151"/>
      <c r="Y146" s="153"/>
      <c r="Z146" s="61">
        <f t="shared" si="21"/>
        <v>1091</v>
      </c>
      <c r="AA146" s="75">
        <f t="shared" si="21"/>
        <v>1295</v>
      </c>
      <c r="AB146" s="151"/>
      <c r="AC146" s="153"/>
      <c r="AD146" s="151"/>
      <c r="AE146" s="153"/>
      <c r="AF146" s="151"/>
      <c r="AG146" s="153"/>
      <c r="AH146" s="151"/>
      <c r="AI146" s="153"/>
      <c r="AJ146" s="151"/>
      <c r="AK146" s="153"/>
      <c r="AL146" s="151"/>
      <c r="AM146" s="153"/>
      <c r="AN146" s="151"/>
      <c r="AO146" s="153"/>
      <c r="AP146" s="61">
        <f t="shared" si="22"/>
        <v>1091</v>
      </c>
      <c r="AQ146" s="75">
        <f t="shared" si="22"/>
        <v>1295</v>
      </c>
      <c r="AR146" s="150" t="s">
        <v>128</v>
      </c>
      <c r="AS146" s="21">
        <f t="shared" si="23"/>
        <v>204</v>
      </c>
      <c r="AT146" s="21">
        <f t="shared" si="24"/>
        <v>0</v>
      </c>
      <c r="AU146" s="21">
        <f t="shared" si="25"/>
        <v>204</v>
      </c>
    </row>
    <row r="147" spans="1:47" x14ac:dyDescent="0.25">
      <c r="A147" s="4" t="s">
        <v>175</v>
      </c>
      <c r="B147" s="4" t="s">
        <v>90</v>
      </c>
      <c r="C147" s="5" t="s">
        <v>86</v>
      </c>
      <c r="D147" s="151"/>
      <c r="E147" s="153"/>
      <c r="F147" s="151"/>
      <c r="G147" s="153"/>
      <c r="H147" s="151"/>
      <c r="I147" s="153"/>
      <c r="J147" s="151"/>
      <c r="K147" s="153"/>
      <c r="L147" s="151"/>
      <c r="M147" s="153"/>
      <c r="N147" s="151"/>
      <c r="O147" s="153"/>
      <c r="P147" s="151"/>
      <c r="Q147" s="153"/>
      <c r="R147" s="151"/>
      <c r="S147" s="153"/>
      <c r="T147" s="151">
        <v>700</v>
      </c>
      <c r="U147" s="153">
        <v>700</v>
      </c>
      <c r="V147" s="151"/>
      <c r="W147" s="153"/>
      <c r="X147" s="151"/>
      <c r="Y147" s="153"/>
      <c r="Z147" s="61">
        <f t="shared" si="21"/>
        <v>700</v>
      </c>
      <c r="AA147" s="75">
        <f t="shared" si="21"/>
        <v>700</v>
      </c>
      <c r="AB147" s="151"/>
      <c r="AC147" s="153"/>
      <c r="AD147" s="151"/>
      <c r="AE147" s="153"/>
      <c r="AF147" s="151"/>
      <c r="AG147" s="153"/>
      <c r="AH147" s="151"/>
      <c r="AI147" s="153"/>
      <c r="AJ147" s="151"/>
      <c r="AK147" s="153"/>
      <c r="AL147" s="151"/>
      <c r="AM147" s="153"/>
      <c r="AN147" s="151"/>
      <c r="AO147" s="153"/>
      <c r="AP147" s="61">
        <f t="shared" si="22"/>
        <v>700</v>
      </c>
      <c r="AQ147" s="75">
        <f t="shared" si="22"/>
        <v>700</v>
      </c>
      <c r="AR147" s="150" t="s">
        <v>128</v>
      </c>
      <c r="AS147" s="21">
        <f t="shared" si="23"/>
        <v>0</v>
      </c>
      <c r="AT147" s="21">
        <f t="shared" si="24"/>
        <v>0</v>
      </c>
      <c r="AU147" s="21">
        <f t="shared" si="25"/>
        <v>0</v>
      </c>
    </row>
    <row r="148" spans="1:47" ht="26.25" x14ac:dyDescent="0.25">
      <c r="A148" s="4" t="s">
        <v>175</v>
      </c>
      <c r="B148" s="4" t="s">
        <v>87</v>
      </c>
      <c r="C148" s="5" t="s">
        <v>86</v>
      </c>
      <c r="D148" s="151">
        <f>8518+45</f>
        <v>8563</v>
      </c>
      <c r="E148" s="153">
        <v>22681</v>
      </c>
      <c r="F148" s="151"/>
      <c r="G148" s="153"/>
      <c r="H148" s="151"/>
      <c r="I148" s="153"/>
      <c r="J148" s="151"/>
      <c r="K148" s="153"/>
      <c r="L148" s="151"/>
      <c r="M148" s="153"/>
      <c r="N148" s="151"/>
      <c r="O148" s="153"/>
      <c r="P148" s="151"/>
      <c r="Q148" s="153"/>
      <c r="R148" s="151"/>
      <c r="S148" s="153"/>
      <c r="T148" s="151"/>
      <c r="U148" s="153"/>
      <c r="V148" s="151"/>
      <c r="W148" s="153"/>
      <c r="X148" s="151"/>
      <c r="Y148" s="153"/>
      <c r="Z148" s="61">
        <f t="shared" si="21"/>
        <v>8563</v>
      </c>
      <c r="AA148" s="75">
        <f t="shared" si="21"/>
        <v>22681</v>
      </c>
      <c r="AB148" s="151"/>
      <c r="AC148" s="153"/>
      <c r="AD148" s="151"/>
      <c r="AE148" s="153"/>
      <c r="AF148" s="151"/>
      <c r="AG148" s="153"/>
      <c r="AH148" s="151"/>
      <c r="AI148" s="153"/>
      <c r="AJ148" s="151"/>
      <c r="AK148" s="153"/>
      <c r="AL148" s="151"/>
      <c r="AM148" s="153"/>
      <c r="AN148" s="151"/>
      <c r="AO148" s="153"/>
      <c r="AP148" s="61">
        <f t="shared" si="22"/>
        <v>8563</v>
      </c>
      <c r="AQ148" s="75">
        <f t="shared" si="22"/>
        <v>22681</v>
      </c>
      <c r="AR148" s="150" t="s">
        <v>128</v>
      </c>
      <c r="AS148" s="21">
        <f t="shared" si="23"/>
        <v>14118</v>
      </c>
      <c r="AT148" s="21">
        <f t="shared" si="24"/>
        <v>14118</v>
      </c>
      <c r="AU148" s="21">
        <f t="shared" si="25"/>
        <v>0</v>
      </c>
    </row>
    <row r="149" spans="1:47" ht="26.25" x14ac:dyDescent="0.25">
      <c r="A149" s="4" t="s">
        <v>175</v>
      </c>
      <c r="B149" s="4" t="s">
        <v>182</v>
      </c>
      <c r="C149" s="5" t="s">
        <v>79</v>
      </c>
      <c r="D149" s="151">
        <v>9679</v>
      </c>
      <c r="E149" s="153">
        <v>9937</v>
      </c>
      <c r="F149" s="151">
        <v>109</v>
      </c>
      <c r="G149" s="153">
        <v>50</v>
      </c>
      <c r="H149" s="151"/>
      <c r="I149" s="153"/>
      <c r="J149" s="151">
        <v>0</v>
      </c>
      <c r="K149" s="153">
        <v>60</v>
      </c>
      <c r="L149" s="151">
        <v>0</v>
      </c>
      <c r="M149" s="153">
        <v>280</v>
      </c>
      <c r="N149" s="151"/>
      <c r="O149" s="153">
        <v>35</v>
      </c>
      <c r="P149" s="151"/>
      <c r="Q149" s="153">
        <v>362</v>
      </c>
      <c r="R149" s="151">
        <v>100</v>
      </c>
      <c r="S149" s="153">
        <v>125</v>
      </c>
      <c r="T149" s="151"/>
      <c r="U149" s="153"/>
      <c r="V149" s="151"/>
      <c r="W149" s="153"/>
      <c r="X149" s="151"/>
      <c r="Y149" s="153"/>
      <c r="Z149" s="61">
        <f t="shared" si="21"/>
        <v>9888</v>
      </c>
      <c r="AA149" s="75">
        <f t="shared" si="21"/>
        <v>10849</v>
      </c>
      <c r="AB149" s="151">
        <v>0</v>
      </c>
      <c r="AC149" s="153"/>
      <c r="AD149" s="151">
        <v>400</v>
      </c>
      <c r="AE149" s="153">
        <v>100</v>
      </c>
      <c r="AF149" s="151">
        <v>800</v>
      </c>
      <c r="AG149" s="153">
        <v>595</v>
      </c>
      <c r="AH149" s="151"/>
      <c r="AI149" s="153"/>
      <c r="AJ149" s="151"/>
      <c r="AK149" s="153"/>
      <c r="AL149" s="151"/>
      <c r="AM149" s="153"/>
      <c r="AN149" s="151"/>
      <c r="AO149" s="153"/>
      <c r="AP149" s="61">
        <f t="shared" si="22"/>
        <v>11088</v>
      </c>
      <c r="AQ149" s="75">
        <f t="shared" si="22"/>
        <v>11544</v>
      </c>
      <c r="AR149" s="150" t="s">
        <v>128</v>
      </c>
      <c r="AS149" s="21">
        <f t="shared" si="23"/>
        <v>456</v>
      </c>
      <c r="AT149" s="21">
        <f t="shared" si="24"/>
        <v>258</v>
      </c>
      <c r="AU149" s="21">
        <f t="shared" si="25"/>
        <v>198</v>
      </c>
    </row>
    <row r="150" spans="1:47" x14ac:dyDescent="0.25">
      <c r="A150" s="4" t="s">
        <v>175</v>
      </c>
      <c r="B150" s="4" t="s">
        <v>97</v>
      </c>
      <c r="C150" s="5" t="s">
        <v>96</v>
      </c>
      <c r="D150" s="151"/>
      <c r="E150" s="153"/>
      <c r="F150" s="151"/>
      <c r="G150" s="153"/>
      <c r="H150" s="151"/>
      <c r="I150" s="153"/>
      <c r="J150" s="151"/>
      <c r="K150" s="153"/>
      <c r="L150" s="151"/>
      <c r="M150" s="153"/>
      <c r="N150" s="151"/>
      <c r="O150" s="153"/>
      <c r="P150" s="151"/>
      <c r="Q150" s="153"/>
      <c r="R150" s="151"/>
      <c r="S150" s="153"/>
      <c r="T150" s="151"/>
      <c r="U150" s="153"/>
      <c r="V150" s="151">
        <v>2000</v>
      </c>
      <c r="W150" s="153">
        <v>1600</v>
      </c>
      <c r="X150" s="151"/>
      <c r="Y150" s="153"/>
      <c r="Z150" s="61">
        <f t="shared" si="21"/>
        <v>2000</v>
      </c>
      <c r="AA150" s="75">
        <f t="shared" si="21"/>
        <v>1600</v>
      </c>
      <c r="AB150" s="151"/>
      <c r="AC150" s="153"/>
      <c r="AD150" s="151"/>
      <c r="AE150" s="153"/>
      <c r="AF150" s="151"/>
      <c r="AG150" s="153"/>
      <c r="AH150" s="151"/>
      <c r="AI150" s="153"/>
      <c r="AJ150" s="151"/>
      <c r="AK150" s="153"/>
      <c r="AL150" s="151"/>
      <c r="AM150" s="153"/>
      <c r="AN150" s="151"/>
      <c r="AO150" s="153"/>
      <c r="AP150" s="61">
        <f t="shared" si="22"/>
        <v>2000</v>
      </c>
      <c r="AQ150" s="75">
        <f t="shared" si="22"/>
        <v>1600</v>
      </c>
      <c r="AR150" s="150" t="s">
        <v>128</v>
      </c>
      <c r="AS150" s="21">
        <f t="shared" si="23"/>
        <v>-400</v>
      </c>
      <c r="AT150" s="21">
        <f t="shared" si="24"/>
        <v>0</v>
      </c>
      <c r="AU150" s="21">
        <f t="shared" si="25"/>
        <v>-400</v>
      </c>
    </row>
    <row r="151" spans="1:47" ht="30" x14ac:dyDescent="0.25">
      <c r="A151" s="4" t="s">
        <v>175</v>
      </c>
      <c r="B151" s="4" t="s">
        <v>183</v>
      </c>
      <c r="C151" s="5" t="s">
        <v>104</v>
      </c>
      <c r="D151" s="151"/>
      <c r="E151" s="153"/>
      <c r="F151" s="151">
        <v>120</v>
      </c>
      <c r="G151" s="153"/>
      <c r="H151" s="151"/>
      <c r="I151" s="153"/>
      <c r="J151" s="151">
        <v>0</v>
      </c>
      <c r="K151" s="153">
        <v>60</v>
      </c>
      <c r="L151" s="151">
        <v>0</v>
      </c>
      <c r="M151" s="153">
        <v>198</v>
      </c>
      <c r="N151" s="151"/>
      <c r="O151" s="153">
        <v>5</v>
      </c>
      <c r="P151" s="151"/>
      <c r="Q151" s="153">
        <v>290</v>
      </c>
      <c r="R151" s="151">
        <v>100</v>
      </c>
      <c r="S151" s="153">
        <v>70</v>
      </c>
      <c r="T151" s="151"/>
      <c r="U151" s="153"/>
      <c r="V151" s="151"/>
      <c r="W151" s="153"/>
      <c r="X151" s="151"/>
      <c r="Y151" s="153"/>
      <c r="Z151" s="61">
        <f t="shared" si="21"/>
        <v>220</v>
      </c>
      <c r="AA151" s="75">
        <f t="shared" si="21"/>
        <v>623</v>
      </c>
      <c r="AB151" s="151"/>
      <c r="AC151" s="153"/>
      <c r="AD151" s="151">
        <v>130</v>
      </c>
      <c r="AE151" s="153">
        <v>90</v>
      </c>
      <c r="AF151" s="151">
        <v>215</v>
      </c>
      <c r="AG151" s="153">
        <v>200</v>
      </c>
      <c r="AH151" s="151"/>
      <c r="AI151" s="153"/>
      <c r="AJ151" s="151"/>
      <c r="AK151" s="153"/>
      <c r="AL151" s="151"/>
      <c r="AM151" s="153"/>
      <c r="AN151" s="151"/>
      <c r="AO151" s="153"/>
      <c r="AP151" s="61">
        <f t="shared" si="22"/>
        <v>565</v>
      </c>
      <c r="AQ151" s="75">
        <f t="shared" si="22"/>
        <v>913</v>
      </c>
      <c r="AR151" s="150" t="s">
        <v>102</v>
      </c>
      <c r="AS151" s="21">
        <f t="shared" si="23"/>
        <v>348</v>
      </c>
      <c r="AT151" s="21">
        <f t="shared" si="24"/>
        <v>0</v>
      </c>
      <c r="AU151" s="21">
        <f t="shared" si="25"/>
        <v>348</v>
      </c>
    </row>
    <row r="152" spans="1:47" ht="30" x14ac:dyDescent="0.25">
      <c r="A152" s="4" t="s">
        <v>175</v>
      </c>
      <c r="B152" s="4" t="s">
        <v>100</v>
      </c>
      <c r="C152" s="5" t="s">
        <v>101</v>
      </c>
      <c r="D152" s="151"/>
      <c r="E152" s="153"/>
      <c r="F152" s="151"/>
      <c r="G152" s="153"/>
      <c r="H152" s="151"/>
      <c r="I152" s="153"/>
      <c r="J152" s="151"/>
      <c r="K152" s="153"/>
      <c r="L152" s="151"/>
      <c r="M152" s="153"/>
      <c r="N152" s="151"/>
      <c r="O152" s="153"/>
      <c r="P152" s="151"/>
      <c r="Q152" s="153"/>
      <c r="R152" s="151"/>
      <c r="S152" s="153"/>
      <c r="T152" s="151"/>
      <c r="U152" s="153"/>
      <c r="V152" s="151"/>
      <c r="W152" s="153"/>
      <c r="X152" s="151"/>
      <c r="Y152" s="153"/>
      <c r="Z152" s="61">
        <f t="shared" si="21"/>
        <v>0</v>
      </c>
      <c r="AA152" s="75">
        <f t="shared" si="21"/>
        <v>0</v>
      </c>
      <c r="AB152" s="151"/>
      <c r="AC152" s="153"/>
      <c r="AD152" s="151"/>
      <c r="AE152" s="153"/>
      <c r="AF152" s="151"/>
      <c r="AG152" s="153"/>
      <c r="AH152" s="151"/>
      <c r="AI152" s="153"/>
      <c r="AJ152" s="151"/>
      <c r="AK152" s="153"/>
      <c r="AL152" s="151">
        <v>9217</v>
      </c>
      <c r="AM152" s="153">
        <v>9217</v>
      </c>
      <c r="AN152" s="151"/>
      <c r="AO152" s="153"/>
      <c r="AP152" s="61">
        <f t="shared" si="22"/>
        <v>9217</v>
      </c>
      <c r="AQ152" s="75">
        <f t="shared" si="22"/>
        <v>9217</v>
      </c>
      <c r="AR152" s="150" t="s">
        <v>102</v>
      </c>
      <c r="AS152" s="21">
        <f t="shared" si="23"/>
        <v>0</v>
      </c>
      <c r="AT152" s="21">
        <f t="shared" si="24"/>
        <v>0</v>
      </c>
      <c r="AU152" s="21">
        <f t="shared" si="25"/>
        <v>0</v>
      </c>
    </row>
    <row r="153" spans="1:47" x14ac:dyDescent="0.25">
      <c r="A153" s="4" t="s">
        <v>175</v>
      </c>
      <c r="B153" s="4" t="s">
        <v>105</v>
      </c>
      <c r="C153" s="5"/>
      <c r="D153" s="151">
        <v>3501</v>
      </c>
      <c r="E153" s="153">
        <v>3940</v>
      </c>
      <c r="F153" s="151"/>
      <c r="G153" s="153"/>
      <c r="H153" s="151"/>
      <c r="I153" s="153"/>
      <c r="J153" s="151"/>
      <c r="K153" s="153"/>
      <c r="L153" s="151"/>
      <c r="M153" s="153"/>
      <c r="N153" s="151"/>
      <c r="O153" s="153"/>
      <c r="P153" s="151"/>
      <c r="Q153" s="153"/>
      <c r="R153" s="151"/>
      <c r="S153" s="153"/>
      <c r="T153" s="151"/>
      <c r="U153" s="153"/>
      <c r="V153" s="151"/>
      <c r="W153" s="153"/>
      <c r="X153" s="151"/>
      <c r="Y153" s="153"/>
      <c r="Z153" s="61">
        <f t="shared" si="21"/>
        <v>3501</v>
      </c>
      <c r="AA153" s="75">
        <f t="shared" si="21"/>
        <v>3940</v>
      </c>
      <c r="AB153" s="151"/>
      <c r="AC153" s="153"/>
      <c r="AD153" s="151"/>
      <c r="AE153" s="153"/>
      <c r="AF153" s="151"/>
      <c r="AG153" s="153"/>
      <c r="AH153" s="151"/>
      <c r="AI153" s="153"/>
      <c r="AJ153" s="151"/>
      <c r="AK153" s="153"/>
      <c r="AL153" s="151"/>
      <c r="AM153" s="153"/>
      <c r="AN153" s="151"/>
      <c r="AO153" s="153"/>
      <c r="AP153" s="61">
        <f t="shared" si="22"/>
        <v>3501</v>
      </c>
      <c r="AQ153" s="75">
        <f t="shared" si="22"/>
        <v>3940</v>
      </c>
      <c r="AR153" s="150" t="s">
        <v>58</v>
      </c>
      <c r="AS153" s="21">
        <f t="shared" si="23"/>
        <v>439</v>
      </c>
      <c r="AT153" s="21">
        <f t="shared" si="24"/>
        <v>439</v>
      </c>
      <c r="AU153" s="21">
        <f t="shared" si="25"/>
        <v>0</v>
      </c>
    </row>
    <row r="154" spans="1:47" x14ac:dyDescent="0.25">
      <c r="A154" s="4" t="s">
        <v>175</v>
      </c>
      <c r="B154" s="4" t="s">
        <v>106</v>
      </c>
      <c r="C154" s="5"/>
      <c r="D154" s="151">
        <v>3066</v>
      </c>
      <c r="E154" s="153">
        <v>3179</v>
      </c>
      <c r="F154" s="151"/>
      <c r="G154" s="153"/>
      <c r="H154" s="151"/>
      <c r="I154" s="153"/>
      <c r="J154" s="151"/>
      <c r="K154" s="153"/>
      <c r="L154" s="151"/>
      <c r="M154" s="153"/>
      <c r="N154" s="151"/>
      <c r="O154" s="153"/>
      <c r="P154" s="151"/>
      <c r="Q154" s="153"/>
      <c r="R154" s="151"/>
      <c r="S154" s="153"/>
      <c r="T154" s="151"/>
      <c r="U154" s="153"/>
      <c r="V154" s="151"/>
      <c r="W154" s="153"/>
      <c r="X154" s="151"/>
      <c r="Y154" s="153"/>
      <c r="Z154" s="61">
        <f t="shared" si="21"/>
        <v>3066</v>
      </c>
      <c r="AA154" s="75">
        <f t="shared" si="21"/>
        <v>3179</v>
      </c>
      <c r="AB154" s="151"/>
      <c r="AC154" s="153"/>
      <c r="AD154" s="151"/>
      <c r="AE154" s="153"/>
      <c r="AF154" s="151"/>
      <c r="AG154" s="153"/>
      <c r="AH154" s="151"/>
      <c r="AI154" s="153"/>
      <c r="AJ154" s="151"/>
      <c r="AK154" s="153"/>
      <c r="AL154" s="151"/>
      <c r="AM154" s="153"/>
      <c r="AN154" s="151"/>
      <c r="AO154" s="153"/>
      <c r="AP154" s="61">
        <f t="shared" si="22"/>
        <v>3066</v>
      </c>
      <c r="AQ154" s="75">
        <f t="shared" si="22"/>
        <v>3179</v>
      </c>
      <c r="AR154" s="150" t="s">
        <v>58</v>
      </c>
      <c r="AS154" s="21">
        <f t="shared" si="23"/>
        <v>113</v>
      </c>
      <c r="AT154" s="21">
        <f t="shared" si="24"/>
        <v>113</v>
      </c>
      <c r="AU154" s="21">
        <f t="shared" si="25"/>
        <v>0</v>
      </c>
    </row>
    <row r="155" spans="1:47" x14ac:dyDescent="0.25">
      <c r="A155" s="4" t="s">
        <v>175</v>
      </c>
      <c r="B155" s="4" t="s">
        <v>98</v>
      </c>
      <c r="C155" s="5" t="s">
        <v>99</v>
      </c>
      <c r="D155" s="151"/>
      <c r="E155" s="153"/>
      <c r="F155" s="151"/>
      <c r="G155" s="153"/>
      <c r="H155" s="151"/>
      <c r="I155" s="153"/>
      <c r="J155" s="151"/>
      <c r="K155" s="153"/>
      <c r="L155" s="151"/>
      <c r="M155" s="153"/>
      <c r="N155" s="151"/>
      <c r="O155" s="153"/>
      <c r="P155" s="151"/>
      <c r="Q155" s="153"/>
      <c r="R155" s="151"/>
      <c r="S155" s="153">
        <v>120</v>
      </c>
      <c r="T155" s="151"/>
      <c r="U155" s="153"/>
      <c r="V155" s="151"/>
      <c r="W155" s="153"/>
      <c r="X155" s="151"/>
      <c r="Y155" s="153"/>
      <c r="Z155" s="61">
        <f t="shared" si="21"/>
        <v>0</v>
      </c>
      <c r="AA155" s="75">
        <f t="shared" si="21"/>
        <v>120</v>
      </c>
      <c r="AB155" s="151"/>
      <c r="AC155" s="153"/>
      <c r="AD155" s="151"/>
      <c r="AE155" s="153"/>
      <c r="AF155" s="151"/>
      <c r="AG155" s="153"/>
      <c r="AH155" s="151"/>
      <c r="AI155" s="153"/>
      <c r="AJ155" s="151"/>
      <c r="AK155" s="153"/>
      <c r="AL155" s="151"/>
      <c r="AM155" s="153"/>
      <c r="AN155" s="151"/>
      <c r="AO155" s="153"/>
      <c r="AP155" s="61">
        <f t="shared" si="22"/>
        <v>0</v>
      </c>
      <c r="AQ155" s="75">
        <f t="shared" si="22"/>
        <v>120</v>
      </c>
      <c r="AR155" s="150" t="s">
        <v>58</v>
      </c>
      <c r="AS155" s="21">
        <f t="shared" si="23"/>
        <v>120</v>
      </c>
      <c r="AT155" s="21">
        <f t="shared" si="24"/>
        <v>0</v>
      </c>
      <c r="AU155" s="21">
        <f t="shared" si="25"/>
        <v>120</v>
      </c>
    </row>
    <row r="156" spans="1:47" x14ac:dyDescent="0.25">
      <c r="A156" s="16" t="s">
        <v>184</v>
      </c>
      <c r="B156" s="16" t="s">
        <v>108</v>
      </c>
      <c r="C156" s="17"/>
      <c r="D156" s="18">
        <f t="shared" ref="D156:AQ156" si="26">SUM(D136:D155)</f>
        <v>173788</v>
      </c>
      <c r="E156" s="105">
        <f t="shared" si="26"/>
        <v>192104</v>
      </c>
      <c r="F156" s="18">
        <f t="shared" si="26"/>
        <v>2479</v>
      </c>
      <c r="G156" s="18">
        <f t="shared" si="26"/>
        <v>886</v>
      </c>
      <c r="H156" s="18">
        <f t="shared" si="26"/>
        <v>0</v>
      </c>
      <c r="I156" s="18">
        <f t="shared" si="26"/>
        <v>0</v>
      </c>
      <c r="J156" s="18">
        <f t="shared" si="26"/>
        <v>2000</v>
      </c>
      <c r="K156" s="18">
        <f t="shared" si="26"/>
        <v>1960</v>
      </c>
      <c r="L156" s="18">
        <f t="shared" si="26"/>
        <v>11417</v>
      </c>
      <c r="M156" s="18">
        <f t="shared" si="26"/>
        <v>11705</v>
      </c>
      <c r="N156" s="18">
        <f t="shared" si="26"/>
        <v>1011</v>
      </c>
      <c r="O156" s="18">
        <f t="shared" si="26"/>
        <v>1451</v>
      </c>
      <c r="P156" s="18">
        <f t="shared" si="26"/>
        <v>9140</v>
      </c>
      <c r="Q156" s="18">
        <f t="shared" si="26"/>
        <v>11600</v>
      </c>
      <c r="R156" s="18">
        <f t="shared" si="26"/>
        <v>2854</v>
      </c>
      <c r="S156" s="18">
        <f t="shared" si="26"/>
        <v>2992</v>
      </c>
      <c r="T156" s="18">
        <f t="shared" si="26"/>
        <v>7434</v>
      </c>
      <c r="U156" s="18">
        <f t="shared" si="26"/>
        <v>6519</v>
      </c>
      <c r="V156" s="18">
        <f t="shared" si="26"/>
        <v>2000</v>
      </c>
      <c r="W156" s="18">
        <f t="shared" si="26"/>
        <v>1600</v>
      </c>
      <c r="X156" s="18">
        <f t="shared" si="26"/>
        <v>0</v>
      </c>
      <c r="Y156" s="18">
        <f t="shared" si="26"/>
        <v>0</v>
      </c>
      <c r="Z156" s="18">
        <f t="shared" si="26"/>
        <v>212123</v>
      </c>
      <c r="AA156" s="18">
        <f t="shared" si="26"/>
        <v>230817</v>
      </c>
      <c r="AB156" s="18">
        <f t="shared" si="26"/>
        <v>230</v>
      </c>
      <c r="AC156" s="18">
        <f t="shared" si="26"/>
        <v>50</v>
      </c>
      <c r="AD156" s="18">
        <f t="shared" si="26"/>
        <v>17885</v>
      </c>
      <c r="AE156" s="18">
        <f t="shared" si="26"/>
        <v>14698</v>
      </c>
      <c r="AF156" s="18">
        <f t="shared" si="26"/>
        <v>20087</v>
      </c>
      <c r="AG156" s="18">
        <f t="shared" si="26"/>
        <v>18005</v>
      </c>
      <c r="AH156" s="18">
        <f t="shared" si="26"/>
        <v>1342</v>
      </c>
      <c r="AI156" s="18">
        <f t="shared" si="26"/>
        <v>1314</v>
      </c>
      <c r="AJ156" s="18">
        <f t="shared" si="26"/>
        <v>0</v>
      </c>
      <c r="AK156" s="18">
        <f t="shared" si="26"/>
        <v>0</v>
      </c>
      <c r="AL156" s="18">
        <f t="shared" si="26"/>
        <v>9217</v>
      </c>
      <c r="AM156" s="18">
        <f t="shared" si="26"/>
        <v>9217</v>
      </c>
      <c r="AN156" s="18">
        <f t="shared" si="26"/>
        <v>0</v>
      </c>
      <c r="AO156" s="18">
        <f t="shared" si="26"/>
        <v>0</v>
      </c>
      <c r="AP156" s="18">
        <f t="shared" si="26"/>
        <v>260884</v>
      </c>
      <c r="AQ156" s="18">
        <f t="shared" si="26"/>
        <v>274101</v>
      </c>
      <c r="AR156" s="150"/>
      <c r="AS156" s="156">
        <f t="shared" si="23"/>
        <v>13217</v>
      </c>
      <c r="AT156" s="156">
        <f t="shared" si="24"/>
        <v>18316</v>
      </c>
      <c r="AU156" s="156">
        <f t="shared" si="25"/>
        <v>-5099</v>
      </c>
    </row>
    <row r="157" spans="1:47" x14ac:dyDescent="0.25">
      <c r="A157" s="4" t="s">
        <v>185</v>
      </c>
      <c r="B157" s="4" t="s">
        <v>56</v>
      </c>
      <c r="C157" s="5" t="s">
        <v>57</v>
      </c>
      <c r="D157" s="151">
        <v>59017</v>
      </c>
      <c r="E157" s="153">
        <v>46213</v>
      </c>
      <c r="F157" s="151">
        <v>1370</v>
      </c>
      <c r="G157" s="153">
        <v>1490</v>
      </c>
      <c r="H157" s="151">
        <v>810</v>
      </c>
      <c r="I157" s="153">
        <v>4220</v>
      </c>
      <c r="J157" s="151">
        <v>71</v>
      </c>
      <c r="K157" s="153">
        <v>110</v>
      </c>
      <c r="L157" s="151">
        <v>2200</v>
      </c>
      <c r="M157" s="153">
        <v>1600</v>
      </c>
      <c r="N157" s="151">
        <v>420</v>
      </c>
      <c r="O157" s="153">
        <v>440</v>
      </c>
      <c r="P157" s="151">
        <v>2700</v>
      </c>
      <c r="Q157" s="153"/>
      <c r="R157" s="151">
        <v>1500</v>
      </c>
      <c r="S157" s="153">
        <v>1420</v>
      </c>
      <c r="T157" s="151"/>
      <c r="U157" s="153"/>
      <c r="V157" s="151"/>
      <c r="W157" s="153"/>
      <c r="X157" s="151"/>
      <c r="Y157" s="153"/>
      <c r="Z157" s="61">
        <f t="shared" ref="Z157:AA184" si="27">D157+F157+H157+J157+L157+P157+R157+T157+V157+X157+N157</f>
        <v>68088</v>
      </c>
      <c r="AA157" s="75">
        <f t="shared" si="27"/>
        <v>55493</v>
      </c>
      <c r="AB157" s="151">
        <v>30</v>
      </c>
      <c r="AC157" s="153">
        <v>30</v>
      </c>
      <c r="AD157" s="151">
        <v>4400</v>
      </c>
      <c r="AE157" s="153">
        <v>4350</v>
      </c>
      <c r="AF157" s="151">
        <v>3900</v>
      </c>
      <c r="AG157" s="153">
        <v>3850</v>
      </c>
      <c r="AH157" s="151"/>
      <c r="AI157" s="153"/>
      <c r="AJ157" s="151"/>
      <c r="AK157" s="153"/>
      <c r="AL157" s="151"/>
      <c r="AM157" s="153"/>
      <c r="AN157" s="151"/>
      <c r="AO157" s="153"/>
      <c r="AP157" s="61">
        <f t="shared" ref="AP157:AQ184" si="28">Z157+AB157+AD157+AF157+AH157+AJ157+AL157+AN157</f>
        <v>76418</v>
      </c>
      <c r="AQ157" s="75">
        <f t="shared" si="28"/>
        <v>63723</v>
      </c>
      <c r="AR157" s="150" t="s">
        <v>58</v>
      </c>
      <c r="AS157" s="21">
        <f t="shared" si="23"/>
        <v>-12695</v>
      </c>
      <c r="AT157" s="21">
        <f t="shared" si="24"/>
        <v>-12804</v>
      </c>
      <c r="AU157" s="21">
        <f t="shared" si="25"/>
        <v>109</v>
      </c>
    </row>
    <row r="158" spans="1:47" x14ac:dyDescent="0.25">
      <c r="A158" s="4" t="s">
        <v>185</v>
      </c>
      <c r="B158" s="4" t="s">
        <v>98</v>
      </c>
      <c r="C158" s="5" t="s">
        <v>99</v>
      </c>
      <c r="D158" s="151"/>
      <c r="E158" s="153"/>
      <c r="F158" s="151">
        <v>130</v>
      </c>
      <c r="G158" s="153">
        <v>130</v>
      </c>
      <c r="H158" s="151">
        <v>100</v>
      </c>
      <c r="I158" s="153">
        <v>256</v>
      </c>
      <c r="J158" s="151"/>
      <c r="K158" s="153"/>
      <c r="L158" s="151">
        <v>60</v>
      </c>
      <c r="M158" s="153">
        <v>60</v>
      </c>
      <c r="N158" s="151"/>
      <c r="O158" s="153">
        <v>60</v>
      </c>
      <c r="P158" s="151">
        <v>260</v>
      </c>
      <c r="Q158" s="153"/>
      <c r="R158" s="151">
        <v>145</v>
      </c>
      <c r="S158" s="153">
        <v>145</v>
      </c>
      <c r="T158" s="151"/>
      <c r="U158" s="153"/>
      <c r="V158" s="151"/>
      <c r="W158" s="153"/>
      <c r="X158" s="151"/>
      <c r="Y158" s="153"/>
      <c r="Z158" s="61">
        <f t="shared" si="27"/>
        <v>695</v>
      </c>
      <c r="AA158" s="75">
        <f t="shared" si="27"/>
        <v>651</v>
      </c>
      <c r="AB158" s="151"/>
      <c r="AC158" s="153"/>
      <c r="AD158" s="151">
        <v>120</v>
      </c>
      <c r="AE158" s="153">
        <v>120</v>
      </c>
      <c r="AF158" s="151">
        <v>250</v>
      </c>
      <c r="AG158" s="153">
        <v>250</v>
      </c>
      <c r="AH158" s="151"/>
      <c r="AI158" s="153"/>
      <c r="AJ158" s="151"/>
      <c r="AK158" s="153"/>
      <c r="AL158" s="151"/>
      <c r="AM158" s="153"/>
      <c r="AN158" s="151"/>
      <c r="AO158" s="153"/>
      <c r="AP158" s="61">
        <f t="shared" si="28"/>
        <v>1065</v>
      </c>
      <c r="AQ158" s="75">
        <f t="shared" si="28"/>
        <v>1021</v>
      </c>
      <c r="AR158" s="150" t="s">
        <v>58</v>
      </c>
      <c r="AS158" s="21">
        <f t="shared" si="23"/>
        <v>-44</v>
      </c>
      <c r="AT158" s="21">
        <f t="shared" si="24"/>
        <v>0</v>
      </c>
      <c r="AU158" s="21">
        <f t="shared" si="25"/>
        <v>-44</v>
      </c>
    </row>
    <row r="159" spans="1:47" ht="26.25" x14ac:dyDescent="0.25">
      <c r="A159" s="4" t="s">
        <v>185</v>
      </c>
      <c r="B159" s="4" t="s">
        <v>134</v>
      </c>
      <c r="C159" s="5" t="s">
        <v>60</v>
      </c>
      <c r="D159" s="151">
        <v>160880</v>
      </c>
      <c r="E159" s="153">
        <v>168863</v>
      </c>
      <c r="F159" s="151">
        <v>35</v>
      </c>
      <c r="G159" s="153">
        <v>110</v>
      </c>
      <c r="H159" s="151"/>
      <c r="I159" s="153"/>
      <c r="J159" s="151"/>
      <c r="K159" s="153"/>
      <c r="L159" s="151"/>
      <c r="M159" s="153"/>
      <c r="N159" s="151">
        <v>510</v>
      </c>
      <c r="O159" s="153">
        <v>985</v>
      </c>
      <c r="P159" s="151"/>
      <c r="Q159" s="153"/>
      <c r="R159" s="151">
        <v>2800</v>
      </c>
      <c r="S159" s="153">
        <v>2760</v>
      </c>
      <c r="T159" s="151"/>
      <c r="U159" s="153"/>
      <c r="V159" s="151"/>
      <c r="W159" s="153"/>
      <c r="X159" s="151"/>
      <c r="Y159" s="153"/>
      <c r="Z159" s="61">
        <f t="shared" si="27"/>
        <v>164225</v>
      </c>
      <c r="AA159" s="75">
        <f t="shared" si="27"/>
        <v>172718</v>
      </c>
      <c r="AB159" s="151">
        <v>25</v>
      </c>
      <c r="AC159" s="153">
        <v>25</v>
      </c>
      <c r="AD159" s="151">
        <v>4700</v>
      </c>
      <c r="AE159" s="153">
        <v>4650</v>
      </c>
      <c r="AF159" s="151">
        <v>4500</v>
      </c>
      <c r="AG159" s="153">
        <v>4450</v>
      </c>
      <c r="AH159" s="151"/>
      <c r="AI159" s="153"/>
      <c r="AJ159" s="151"/>
      <c r="AK159" s="153"/>
      <c r="AL159" s="151"/>
      <c r="AM159" s="153"/>
      <c r="AN159" s="151">
        <v>180</v>
      </c>
      <c r="AO159" s="153"/>
      <c r="AP159" s="61">
        <f t="shared" si="28"/>
        <v>173630</v>
      </c>
      <c r="AQ159" s="75">
        <f t="shared" si="28"/>
        <v>181843</v>
      </c>
      <c r="AR159" s="150" t="s">
        <v>167</v>
      </c>
      <c r="AS159" s="21">
        <f t="shared" si="23"/>
        <v>8213</v>
      </c>
      <c r="AT159" s="21">
        <f t="shared" si="24"/>
        <v>7983</v>
      </c>
      <c r="AU159" s="21">
        <f t="shared" si="25"/>
        <v>230</v>
      </c>
    </row>
    <row r="160" spans="1:47" x14ac:dyDescent="0.25">
      <c r="A160" s="4" t="s">
        <v>185</v>
      </c>
      <c r="B160" s="4" t="s">
        <v>164</v>
      </c>
      <c r="C160" s="5" t="s">
        <v>165</v>
      </c>
      <c r="D160" s="151"/>
      <c r="E160" s="153"/>
      <c r="F160" s="151"/>
      <c r="G160" s="153"/>
      <c r="H160" s="151"/>
      <c r="I160" s="153"/>
      <c r="J160" s="151"/>
      <c r="K160" s="153"/>
      <c r="L160" s="151"/>
      <c r="M160" s="153"/>
      <c r="N160" s="151"/>
      <c r="O160" s="153"/>
      <c r="P160" s="151"/>
      <c r="Q160" s="153"/>
      <c r="R160" s="151"/>
      <c r="S160" s="153"/>
      <c r="T160" s="151"/>
      <c r="U160" s="153"/>
      <c r="V160" s="151"/>
      <c r="W160" s="153"/>
      <c r="X160" s="151"/>
      <c r="Y160" s="153"/>
      <c r="Z160" s="61">
        <f t="shared" si="27"/>
        <v>0</v>
      </c>
      <c r="AA160" s="75">
        <f t="shared" si="27"/>
        <v>0</v>
      </c>
      <c r="AB160" s="151"/>
      <c r="AC160" s="153"/>
      <c r="AD160" s="151">
        <v>1580</v>
      </c>
      <c r="AE160" s="153">
        <v>1580</v>
      </c>
      <c r="AF160" s="151">
        <v>650</v>
      </c>
      <c r="AG160" s="153">
        <v>650</v>
      </c>
      <c r="AH160" s="151"/>
      <c r="AI160" s="153"/>
      <c r="AJ160" s="151"/>
      <c r="AK160" s="153"/>
      <c r="AL160" s="151"/>
      <c r="AM160" s="153"/>
      <c r="AN160" s="151"/>
      <c r="AO160" s="153"/>
      <c r="AP160" s="61">
        <f t="shared" si="28"/>
        <v>2230</v>
      </c>
      <c r="AQ160" s="75">
        <f t="shared" si="28"/>
        <v>2230</v>
      </c>
      <c r="AR160" s="150" t="s">
        <v>186</v>
      </c>
      <c r="AS160" s="21">
        <f t="shared" si="23"/>
        <v>0</v>
      </c>
      <c r="AT160" s="21">
        <f t="shared" si="24"/>
        <v>0</v>
      </c>
      <c r="AU160" s="21">
        <f t="shared" si="25"/>
        <v>0</v>
      </c>
    </row>
    <row r="161" spans="1:47" x14ac:dyDescent="0.25">
      <c r="A161" s="4" t="s">
        <v>185</v>
      </c>
      <c r="B161" s="4" t="s">
        <v>187</v>
      </c>
      <c r="C161" s="5" t="s">
        <v>73</v>
      </c>
      <c r="D161" s="151">
        <v>8443</v>
      </c>
      <c r="E161" s="153">
        <v>9002</v>
      </c>
      <c r="F161" s="151">
        <v>45</v>
      </c>
      <c r="G161" s="153">
        <v>38</v>
      </c>
      <c r="H161" s="151">
        <v>1100</v>
      </c>
      <c r="I161" s="153">
        <v>1331</v>
      </c>
      <c r="J161" s="151">
        <v>256</v>
      </c>
      <c r="K161" s="153">
        <v>245</v>
      </c>
      <c r="L161" s="151">
        <v>550</v>
      </c>
      <c r="M161" s="153">
        <v>530</v>
      </c>
      <c r="N161" s="151">
        <v>140</v>
      </c>
      <c r="O161" s="153">
        <v>150</v>
      </c>
      <c r="P161" s="151">
        <v>800</v>
      </c>
      <c r="Q161" s="153"/>
      <c r="R161" s="151">
        <v>30</v>
      </c>
      <c r="S161" s="153">
        <v>25</v>
      </c>
      <c r="T161" s="151"/>
      <c r="U161" s="153"/>
      <c r="V161" s="151"/>
      <c r="W161" s="153"/>
      <c r="X161" s="151"/>
      <c r="Y161" s="153"/>
      <c r="Z161" s="61">
        <f t="shared" si="27"/>
        <v>11364</v>
      </c>
      <c r="AA161" s="75">
        <f t="shared" si="27"/>
        <v>11321</v>
      </c>
      <c r="AB161" s="151"/>
      <c r="AC161" s="153"/>
      <c r="AD161" s="151">
        <v>430</v>
      </c>
      <c r="AE161" s="153">
        <v>420</v>
      </c>
      <c r="AF161" s="151">
        <v>550</v>
      </c>
      <c r="AG161" s="153">
        <v>540</v>
      </c>
      <c r="AH161" s="151">
        <v>2084</v>
      </c>
      <c r="AI161" s="153">
        <v>1555</v>
      </c>
      <c r="AJ161" s="151"/>
      <c r="AK161" s="153"/>
      <c r="AL161" s="151"/>
      <c r="AM161" s="153"/>
      <c r="AN161" s="151"/>
      <c r="AO161" s="153"/>
      <c r="AP161" s="61">
        <f t="shared" si="28"/>
        <v>14428</v>
      </c>
      <c r="AQ161" s="75">
        <f t="shared" si="28"/>
        <v>13836</v>
      </c>
      <c r="AR161" s="150" t="s">
        <v>74</v>
      </c>
      <c r="AS161" s="21">
        <f t="shared" si="23"/>
        <v>-592</v>
      </c>
      <c r="AT161" s="21">
        <f t="shared" si="24"/>
        <v>559</v>
      </c>
      <c r="AU161" s="21">
        <f t="shared" si="25"/>
        <v>-1151</v>
      </c>
    </row>
    <row r="162" spans="1:47" x14ac:dyDescent="0.25">
      <c r="A162" s="4" t="s">
        <v>185</v>
      </c>
      <c r="B162" s="4" t="s">
        <v>188</v>
      </c>
      <c r="C162" s="5" t="s">
        <v>73</v>
      </c>
      <c r="D162" s="151">
        <v>5524</v>
      </c>
      <c r="E162" s="153">
        <v>5992</v>
      </c>
      <c r="F162" s="151"/>
      <c r="G162" s="153"/>
      <c r="H162" s="151"/>
      <c r="I162" s="153"/>
      <c r="J162" s="151"/>
      <c r="K162" s="153"/>
      <c r="L162" s="151">
        <v>120</v>
      </c>
      <c r="M162" s="153">
        <v>120</v>
      </c>
      <c r="N162" s="151"/>
      <c r="O162" s="153"/>
      <c r="P162" s="151">
        <v>400</v>
      </c>
      <c r="Q162" s="153">
        <v>400</v>
      </c>
      <c r="R162" s="151"/>
      <c r="S162" s="153"/>
      <c r="T162" s="151"/>
      <c r="U162" s="153"/>
      <c r="V162" s="151"/>
      <c r="W162" s="153"/>
      <c r="X162" s="151"/>
      <c r="Y162" s="153"/>
      <c r="Z162" s="61">
        <f t="shared" si="27"/>
        <v>6044</v>
      </c>
      <c r="AA162" s="75">
        <f t="shared" si="27"/>
        <v>6512</v>
      </c>
      <c r="AB162" s="151"/>
      <c r="AC162" s="153"/>
      <c r="AD162" s="151">
        <v>250</v>
      </c>
      <c r="AE162" s="153">
        <v>240</v>
      </c>
      <c r="AF162" s="151">
        <v>300</v>
      </c>
      <c r="AG162" s="153">
        <v>280</v>
      </c>
      <c r="AH162" s="151">
        <v>430</v>
      </c>
      <c r="AI162" s="153">
        <v>900</v>
      </c>
      <c r="AJ162" s="151"/>
      <c r="AK162" s="153"/>
      <c r="AL162" s="151"/>
      <c r="AM162" s="153"/>
      <c r="AN162" s="151"/>
      <c r="AO162" s="153"/>
      <c r="AP162" s="61">
        <f t="shared" si="28"/>
        <v>7024</v>
      </c>
      <c r="AQ162" s="75">
        <f t="shared" si="28"/>
        <v>7932</v>
      </c>
      <c r="AR162" s="150" t="s">
        <v>74</v>
      </c>
      <c r="AS162" s="21">
        <f t="shared" si="23"/>
        <v>908</v>
      </c>
      <c r="AT162" s="21">
        <f t="shared" si="24"/>
        <v>468</v>
      </c>
      <c r="AU162" s="21">
        <f t="shared" si="25"/>
        <v>440</v>
      </c>
    </row>
    <row r="163" spans="1:47" ht="26.25" x14ac:dyDescent="0.25">
      <c r="A163" s="4" t="s">
        <v>185</v>
      </c>
      <c r="B163" s="4" t="s">
        <v>189</v>
      </c>
      <c r="C163" s="5" t="s">
        <v>79</v>
      </c>
      <c r="D163" s="151">
        <v>15412</v>
      </c>
      <c r="E163" s="153">
        <v>15780</v>
      </c>
      <c r="F163" s="151">
        <v>450</v>
      </c>
      <c r="G163" s="153">
        <v>380</v>
      </c>
      <c r="H163" s="151">
        <v>760</v>
      </c>
      <c r="I163" s="153">
        <v>1690</v>
      </c>
      <c r="J163" s="151">
        <v>80</v>
      </c>
      <c r="K163" s="153">
        <v>70</v>
      </c>
      <c r="L163" s="151">
        <v>400</v>
      </c>
      <c r="M163" s="153">
        <v>400</v>
      </c>
      <c r="N163" s="151">
        <v>90</v>
      </c>
      <c r="O163" s="153">
        <v>95</v>
      </c>
      <c r="P163" s="151">
        <v>1540</v>
      </c>
      <c r="Q163" s="153"/>
      <c r="R163" s="151">
        <v>200</v>
      </c>
      <c r="S163" s="153">
        <v>180</v>
      </c>
      <c r="T163" s="151"/>
      <c r="U163" s="153"/>
      <c r="V163" s="151"/>
      <c r="W163" s="153"/>
      <c r="X163" s="151"/>
      <c r="Y163" s="153"/>
      <c r="Z163" s="61">
        <f t="shared" si="27"/>
        <v>18932</v>
      </c>
      <c r="AA163" s="75">
        <f t="shared" si="27"/>
        <v>18595</v>
      </c>
      <c r="AB163" s="151">
        <v>25</v>
      </c>
      <c r="AC163" s="153">
        <v>25</v>
      </c>
      <c r="AD163" s="151">
        <v>540</v>
      </c>
      <c r="AE163" s="153">
        <v>520</v>
      </c>
      <c r="AF163" s="151">
        <v>1480</v>
      </c>
      <c r="AG163" s="153">
        <v>1460</v>
      </c>
      <c r="AH163" s="151"/>
      <c r="AI163" s="153"/>
      <c r="AJ163" s="151"/>
      <c r="AK163" s="153"/>
      <c r="AL163" s="151"/>
      <c r="AM163" s="153"/>
      <c r="AN163" s="151"/>
      <c r="AO163" s="153"/>
      <c r="AP163" s="61">
        <f t="shared" si="28"/>
        <v>20977</v>
      </c>
      <c r="AQ163" s="75">
        <f t="shared" si="28"/>
        <v>20600</v>
      </c>
      <c r="AR163" s="150" t="s">
        <v>128</v>
      </c>
      <c r="AS163" s="21">
        <f t="shared" si="23"/>
        <v>-377</v>
      </c>
      <c r="AT163" s="21">
        <f t="shared" si="24"/>
        <v>368</v>
      </c>
      <c r="AU163" s="21">
        <f t="shared" si="25"/>
        <v>-745</v>
      </c>
    </row>
    <row r="164" spans="1:47" x14ac:dyDescent="0.25">
      <c r="A164" s="4" t="s">
        <v>185</v>
      </c>
      <c r="B164" s="4" t="s">
        <v>190</v>
      </c>
      <c r="C164" s="5" t="s">
        <v>82</v>
      </c>
      <c r="D164" s="151">
        <v>24972</v>
      </c>
      <c r="E164" s="153">
        <v>29513</v>
      </c>
      <c r="F164" s="151">
        <v>420</v>
      </c>
      <c r="G164" s="153">
        <v>475</v>
      </c>
      <c r="H164" s="151">
        <v>4800</v>
      </c>
      <c r="I164" s="153">
        <v>9880</v>
      </c>
      <c r="J164" s="151">
        <v>1560</v>
      </c>
      <c r="K164" s="153">
        <v>1750</v>
      </c>
      <c r="L164" s="151">
        <v>4300</v>
      </c>
      <c r="M164" s="153">
        <v>4050</v>
      </c>
      <c r="N164" s="151">
        <v>550</v>
      </c>
      <c r="O164" s="153">
        <v>565</v>
      </c>
      <c r="P164" s="151">
        <v>3275</v>
      </c>
      <c r="Q164" s="153"/>
      <c r="R164" s="151">
        <v>1440</v>
      </c>
      <c r="S164" s="153">
        <v>1800</v>
      </c>
      <c r="T164" s="151">
        <v>9104</v>
      </c>
      <c r="U164" s="153">
        <v>9104</v>
      </c>
      <c r="V164" s="151"/>
      <c r="W164" s="153"/>
      <c r="X164" s="151"/>
      <c r="Y164" s="153"/>
      <c r="Z164" s="61">
        <f t="shared" si="27"/>
        <v>50421</v>
      </c>
      <c r="AA164" s="75">
        <f t="shared" si="27"/>
        <v>57137</v>
      </c>
      <c r="AB164" s="151">
        <v>25</v>
      </c>
      <c r="AC164" s="153">
        <v>25</v>
      </c>
      <c r="AD164" s="151">
        <v>5000</v>
      </c>
      <c r="AE164" s="153">
        <v>4890</v>
      </c>
      <c r="AF164" s="151">
        <v>7000</v>
      </c>
      <c r="AG164" s="153">
        <v>6900</v>
      </c>
      <c r="AH164" s="151"/>
      <c r="AI164" s="153"/>
      <c r="AJ164" s="151"/>
      <c r="AK164" s="153"/>
      <c r="AL164" s="151"/>
      <c r="AM164" s="153"/>
      <c r="AN164" s="151"/>
      <c r="AO164" s="153"/>
      <c r="AP164" s="61">
        <f t="shared" si="28"/>
        <v>62446</v>
      </c>
      <c r="AQ164" s="75">
        <f t="shared" si="28"/>
        <v>68952</v>
      </c>
      <c r="AR164" s="150" t="s">
        <v>128</v>
      </c>
      <c r="AS164" s="21">
        <f t="shared" si="23"/>
        <v>6506</v>
      </c>
      <c r="AT164" s="21">
        <f t="shared" si="24"/>
        <v>4541</v>
      </c>
      <c r="AU164" s="21">
        <f t="shared" si="25"/>
        <v>1965</v>
      </c>
    </row>
    <row r="165" spans="1:47" ht="26.25" x14ac:dyDescent="0.25">
      <c r="A165" s="4" t="s">
        <v>185</v>
      </c>
      <c r="B165" s="4" t="s">
        <v>83</v>
      </c>
      <c r="C165" s="5" t="s">
        <v>82</v>
      </c>
      <c r="D165" s="151">
        <f>34209+625</f>
        <v>34834</v>
      </c>
      <c r="E165" s="153">
        <v>36088</v>
      </c>
      <c r="F165" s="151"/>
      <c r="G165" s="153"/>
      <c r="H165" s="151"/>
      <c r="I165" s="153"/>
      <c r="J165" s="151"/>
      <c r="K165" s="153"/>
      <c r="L165" s="151"/>
      <c r="M165" s="153"/>
      <c r="N165" s="151"/>
      <c r="O165" s="153"/>
      <c r="P165" s="151"/>
      <c r="Q165" s="153"/>
      <c r="R165" s="151"/>
      <c r="S165" s="153"/>
      <c r="T165" s="151"/>
      <c r="U165" s="153"/>
      <c r="V165" s="151"/>
      <c r="W165" s="153"/>
      <c r="X165" s="151"/>
      <c r="Y165" s="153"/>
      <c r="Z165" s="61">
        <f t="shared" si="27"/>
        <v>34834</v>
      </c>
      <c r="AA165" s="75">
        <f t="shared" si="27"/>
        <v>36088</v>
      </c>
      <c r="AB165" s="151"/>
      <c r="AC165" s="153"/>
      <c r="AD165" s="151"/>
      <c r="AE165" s="153"/>
      <c r="AF165" s="151"/>
      <c r="AG165" s="153"/>
      <c r="AH165" s="151"/>
      <c r="AI165" s="153"/>
      <c r="AJ165" s="151"/>
      <c r="AK165" s="153"/>
      <c r="AL165" s="151"/>
      <c r="AM165" s="153"/>
      <c r="AN165" s="151"/>
      <c r="AO165" s="153"/>
      <c r="AP165" s="61">
        <f t="shared" si="28"/>
        <v>34834</v>
      </c>
      <c r="AQ165" s="75">
        <f t="shared" si="28"/>
        <v>36088</v>
      </c>
      <c r="AR165" s="150" t="s">
        <v>128</v>
      </c>
      <c r="AS165" s="21">
        <f t="shared" si="23"/>
        <v>1254</v>
      </c>
      <c r="AT165" s="21">
        <f t="shared" si="24"/>
        <v>1254</v>
      </c>
      <c r="AU165" s="21">
        <f t="shared" si="25"/>
        <v>0</v>
      </c>
    </row>
    <row r="166" spans="1:47" x14ac:dyDescent="0.25">
      <c r="A166" s="4" t="s">
        <v>185</v>
      </c>
      <c r="B166" s="4" t="s">
        <v>191</v>
      </c>
      <c r="C166" s="5" t="s">
        <v>86</v>
      </c>
      <c r="D166" s="151">
        <v>36317</v>
      </c>
      <c r="E166" s="153">
        <v>40666</v>
      </c>
      <c r="F166" s="151">
        <v>480</v>
      </c>
      <c r="G166" s="153">
        <v>660</v>
      </c>
      <c r="H166" s="151">
        <v>18200</v>
      </c>
      <c r="I166" s="153">
        <v>37065</v>
      </c>
      <c r="J166" s="151">
        <v>3700</v>
      </c>
      <c r="K166" s="153">
        <v>3980</v>
      </c>
      <c r="L166" s="151">
        <v>13000</v>
      </c>
      <c r="M166" s="153">
        <v>11800</v>
      </c>
      <c r="N166" s="151">
        <v>1900</v>
      </c>
      <c r="O166" s="153">
        <v>1850</v>
      </c>
      <c r="P166" s="151">
        <v>12200</v>
      </c>
      <c r="Q166" s="153"/>
      <c r="R166" s="151">
        <v>1600</v>
      </c>
      <c r="S166" s="153">
        <v>1360</v>
      </c>
      <c r="T166" s="151">
        <v>6809</v>
      </c>
      <c r="U166" s="153">
        <v>6871</v>
      </c>
      <c r="V166" s="151"/>
      <c r="W166" s="153"/>
      <c r="X166" s="151"/>
      <c r="Y166" s="153"/>
      <c r="Z166" s="61">
        <f t="shared" si="27"/>
        <v>94206</v>
      </c>
      <c r="AA166" s="75">
        <f t="shared" si="27"/>
        <v>104252</v>
      </c>
      <c r="AB166" s="151">
        <v>100</v>
      </c>
      <c r="AC166" s="153">
        <v>100</v>
      </c>
      <c r="AD166" s="151">
        <v>12000</v>
      </c>
      <c r="AE166" s="153">
        <v>11650</v>
      </c>
      <c r="AF166" s="151">
        <v>15800</v>
      </c>
      <c r="AG166" s="153">
        <v>15400</v>
      </c>
      <c r="AH166" s="151"/>
      <c r="AI166" s="153"/>
      <c r="AJ166" s="151"/>
      <c r="AK166" s="153"/>
      <c r="AL166" s="151"/>
      <c r="AM166" s="153"/>
      <c r="AN166" s="151"/>
      <c r="AO166" s="153"/>
      <c r="AP166" s="61">
        <f t="shared" si="28"/>
        <v>122106</v>
      </c>
      <c r="AQ166" s="75">
        <f t="shared" si="28"/>
        <v>131402</v>
      </c>
      <c r="AR166" s="150" t="s">
        <v>128</v>
      </c>
      <c r="AS166" s="21">
        <f t="shared" si="23"/>
        <v>9296</v>
      </c>
      <c r="AT166" s="21">
        <f t="shared" si="24"/>
        <v>4349</v>
      </c>
      <c r="AU166" s="21">
        <f t="shared" si="25"/>
        <v>4947</v>
      </c>
    </row>
    <row r="167" spans="1:47" ht="26.25" x14ac:dyDescent="0.25">
      <c r="A167" s="4" t="s">
        <v>185</v>
      </c>
      <c r="B167" s="4" t="s">
        <v>88</v>
      </c>
      <c r="C167" s="5" t="s">
        <v>86</v>
      </c>
      <c r="D167" s="151"/>
      <c r="E167" s="153"/>
      <c r="F167" s="151"/>
      <c r="G167" s="153"/>
      <c r="H167" s="151"/>
      <c r="I167" s="153"/>
      <c r="J167" s="151"/>
      <c r="K167" s="153"/>
      <c r="L167" s="151"/>
      <c r="M167" s="153"/>
      <c r="N167" s="151"/>
      <c r="O167" s="153"/>
      <c r="P167" s="151"/>
      <c r="Q167" s="153"/>
      <c r="R167" s="151"/>
      <c r="S167" s="153"/>
      <c r="T167" s="151">
        <v>3476</v>
      </c>
      <c r="U167" s="153">
        <v>3135</v>
      </c>
      <c r="V167" s="151"/>
      <c r="W167" s="153"/>
      <c r="X167" s="151"/>
      <c r="Y167" s="153"/>
      <c r="Z167" s="61">
        <f t="shared" si="27"/>
        <v>3476</v>
      </c>
      <c r="AA167" s="75">
        <f t="shared" si="27"/>
        <v>3135</v>
      </c>
      <c r="AB167" s="151"/>
      <c r="AC167" s="153"/>
      <c r="AD167" s="151"/>
      <c r="AE167" s="153"/>
      <c r="AF167" s="151"/>
      <c r="AG167" s="153"/>
      <c r="AH167" s="151"/>
      <c r="AI167" s="153"/>
      <c r="AJ167" s="151"/>
      <c r="AK167" s="153"/>
      <c r="AL167" s="151"/>
      <c r="AM167" s="153"/>
      <c r="AN167" s="151"/>
      <c r="AO167" s="153"/>
      <c r="AP167" s="61">
        <f t="shared" si="28"/>
        <v>3476</v>
      </c>
      <c r="AQ167" s="75">
        <f t="shared" si="28"/>
        <v>3135</v>
      </c>
      <c r="AR167" s="150" t="s">
        <v>128</v>
      </c>
      <c r="AS167" s="21">
        <f t="shared" si="23"/>
        <v>-341</v>
      </c>
      <c r="AT167" s="21">
        <f t="shared" si="24"/>
        <v>0</v>
      </c>
      <c r="AU167" s="21">
        <f t="shared" si="25"/>
        <v>-341</v>
      </c>
    </row>
    <row r="168" spans="1:47" ht="26.25" x14ac:dyDescent="0.25">
      <c r="A168" s="4" t="s">
        <v>185</v>
      </c>
      <c r="B168" s="4" t="s">
        <v>192</v>
      </c>
      <c r="C168" s="6" t="s">
        <v>86</v>
      </c>
      <c r="D168" s="151">
        <v>7445</v>
      </c>
      <c r="E168" s="153">
        <v>7811</v>
      </c>
      <c r="F168" s="151"/>
      <c r="G168" s="153"/>
      <c r="H168" s="151"/>
      <c r="I168" s="153"/>
      <c r="J168" s="151"/>
      <c r="K168" s="153"/>
      <c r="L168" s="151"/>
      <c r="M168" s="153"/>
      <c r="N168" s="151"/>
      <c r="O168" s="153"/>
      <c r="P168" s="151"/>
      <c r="Q168" s="153"/>
      <c r="R168" s="151"/>
      <c r="S168" s="153"/>
      <c r="T168" s="151"/>
      <c r="U168" s="153"/>
      <c r="V168" s="151"/>
      <c r="W168" s="153"/>
      <c r="X168" s="151"/>
      <c r="Y168" s="153"/>
      <c r="Z168" s="61">
        <f t="shared" si="27"/>
        <v>7445</v>
      </c>
      <c r="AA168" s="75">
        <f t="shared" si="27"/>
        <v>7811</v>
      </c>
      <c r="AB168" s="151"/>
      <c r="AC168" s="153"/>
      <c r="AD168" s="151"/>
      <c r="AE168" s="153"/>
      <c r="AF168" s="151"/>
      <c r="AG168" s="153"/>
      <c r="AH168" s="151"/>
      <c r="AI168" s="153"/>
      <c r="AJ168" s="151"/>
      <c r="AK168" s="153"/>
      <c r="AL168" s="151"/>
      <c r="AM168" s="153"/>
      <c r="AN168" s="151"/>
      <c r="AO168" s="153"/>
      <c r="AP168" s="61">
        <f t="shared" si="28"/>
        <v>7445</v>
      </c>
      <c r="AQ168" s="75">
        <f t="shared" si="28"/>
        <v>7811</v>
      </c>
      <c r="AR168" s="150" t="s">
        <v>128</v>
      </c>
      <c r="AS168" s="21">
        <f t="shared" si="23"/>
        <v>366</v>
      </c>
      <c r="AT168" s="21">
        <f t="shared" si="24"/>
        <v>366</v>
      </c>
      <c r="AU168" s="21">
        <f t="shared" si="25"/>
        <v>0</v>
      </c>
    </row>
    <row r="169" spans="1:47" x14ac:dyDescent="0.25">
      <c r="A169" s="4" t="s">
        <v>185</v>
      </c>
      <c r="B169" s="4" t="s">
        <v>118</v>
      </c>
      <c r="C169" s="5" t="s">
        <v>119</v>
      </c>
      <c r="D169" s="151">
        <v>93008</v>
      </c>
      <c r="E169" s="153">
        <v>143177</v>
      </c>
      <c r="F169" s="151">
        <v>680</v>
      </c>
      <c r="G169" s="153">
        <v>660</v>
      </c>
      <c r="H169" s="151">
        <v>4800</v>
      </c>
      <c r="I169" s="153">
        <v>6485</v>
      </c>
      <c r="J169" s="151">
        <v>2285</v>
      </c>
      <c r="K169" s="153">
        <v>2500</v>
      </c>
      <c r="L169" s="151">
        <v>6200</v>
      </c>
      <c r="M169" s="153">
        <v>6250</v>
      </c>
      <c r="N169" s="151">
        <v>1080</v>
      </c>
      <c r="O169" s="153">
        <v>980</v>
      </c>
      <c r="P169" s="151">
        <v>3275</v>
      </c>
      <c r="Q169" s="153"/>
      <c r="R169" s="151">
        <v>1400</v>
      </c>
      <c r="S169" s="153">
        <v>1300</v>
      </c>
      <c r="T169" s="151">
        <v>32641</v>
      </c>
      <c r="U169" s="153">
        <v>33000</v>
      </c>
      <c r="V169" s="151"/>
      <c r="W169" s="153"/>
      <c r="X169" s="151"/>
      <c r="Y169" s="153"/>
      <c r="Z169" s="61">
        <f t="shared" si="27"/>
        <v>145369</v>
      </c>
      <c r="AA169" s="75">
        <f t="shared" si="27"/>
        <v>194352</v>
      </c>
      <c r="AB169" s="151">
        <v>30</v>
      </c>
      <c r="AC169" s="153">
        <v>30</v>
      </c>
      <c r="AD169" s="151">
        <v>5000</v>
      </c>
      <c r="AE169" s="153">
        <v>5000</v>
      </c>
      <c r="AF169" s="151">
        <v>17500</v>
      </c>
      <c r="AG169" s="153">
        <v>17400</v>
      </c>
      <c r="AH169" s="151"/>
      <c r="AI169" s="153"/>
      <c r="AJ169" s="151"/>
      <c r="AK169" s="153"/>
      <c r="AL169" s="151"/>
      <c r="AM169" s="153"/>
      <c r="AN169" s="151"/>
      <c r="AO169" s="153"/>
      <c r="AP169" s="61">
        <f t="shared" si="28"/>
        <v>167899</v>
      </c>
      <c r="AQ169" s="75">
        <f t="shared" si="28"/>
        <v>216782</v>
      </c>
      <c r="AR169" s="150" t="s">
        <v>193</v>
      </c>
      <c r="AS169" s="21">
        <f t="shared" si="23"/>
        <v>48883</v>
      </c>
      <c r="AT169" s="21">
        <f t="shared" si="24"/>
        <v>50169</v>
      </c>
      <c r="AU169" s="21">
        <f t="shared" si="25"/>
        <v>-1286</v>
      </c>
    </row>
    <row r="170" spans="1:47" ht="39" x14ac:dyDescent="0.25">
      <c r="A170" s="4" t="s">
        <v>185</v>
      </c>
      <c r="B170" s="4" t="s">
        <v>120</v>
      </c>
      <c r="C170" s="5" t="s">
        <v>119</v>
      </c>
      <c r="D170" s="151">
        <v>3943</v>
      </c>
      <c r="E170" s="153">
        <v>3943</v>
      </c>
      <c r="F170" s="151"/>
      <c r="G170" s="153"/>
      <c r="H170" s="151"/>
      <c r="I170" s="153"/>
      <c r="J170" s="151"/>
      <c r="K170" s="153"/>
      <c r="L170" s="151"/>
      <c r="M170" s="153"/>
      <c r="N170" s="151"/>
      <c r="O170" s="153"/>
      <c r="P170" s="151"/>
      <c r="Q170" s="153"/>
      <c r="R170" s="151"/>
      <c r="S170" s="153"/>
      <c r="T170" s="151"/>
      <c r="U170" s="153"/>
      <c r="V170" s="151"/>
      <c r="W170" s="153"/>
      <c r="X170" s="151"/>
      <c r="Y170" s="153"/>
      <c r="Z170" s="61">
        <f t="shared" si="27"/>
        <v>3943</v>
      </c>
      <c r="AA170" s="75">
        <f t="shared" si="27"/>
        <v>3943</v>
      </c>
      <c r="AB170" s="151"/>
      <c r="AC170" s="153"/>
      <c r="AD170" s="151"/>
      <c r="AE170" s="153"/>
      <c r="AF170" s="151"/>
      <c r="AG170" s="153"/>
      <c r="AH170" s="151"/>
      <c r="AI170" s="153"/>
      <c r="AJ170" s="151"/>
      <c r="AK170" s="153"/>
      <c r="AL170" s="151"/>
      <c r="AM170" s="153"/>
      <c r="AN170" s="151"/>
      <c r="AO170" s="153"/>
      <c r="AP170" s="61">
        <f t="shared" si="28"/>
        <v>3943</v>
      </c>
      <c r="AQ170" s="75">
        <f t="shared" si="28"/>
        <v>3943</v>
      </c>
      <c r="AR170" s="150" t="s">
        <v>193</v>
      </c>
      <c r="AS170" s="21">
        <f t="shared" si="23"/>
        <v>0</v>
      </c>
      <c r="AT170" s="21">
        <f t="shared" si="24"/>
        <v>0</v>
      </c>
      <c r="AU170" s="21">
        <f t="shared" si="25"/>
        <v>0</v>
      </c>
    </row>
    <row r="171" spans="1:47" ht="26.25" x14ac:dyDescent="0.25">
      <c r="A171" s="4" t="s">
        <v>185</v>
      </c>
      <c r="B171" s="4" t="s">
        <v>121</v>
      </c>
      <c r="C171" s="5" t="s">
        <v>119</v>
      </c>
      <c r="D171" s="151">
        <v>3340</v>
      </c>
      <c r="E171" s="153">
        <v>3340</v>
      </c>
      <c r="F171" s="151"/>
      <c r="G171" s="153"/>
      <c r="H171" s="151"/>
      <c r="I171" s="153"/>
      <c r="J171" s="151"/>
      <c r="K171" s="153"/>
      <c r="L171" s="151"/>
      <c r="M171" s="153"/>
      <c r="N171" s="151"/>
      <c r="O171" s="153"/>
      <c r="P171" s="151"/>
      <c r="Q171" s="153"/>
      <c r="R171" s="151"/>
      <c r="S171" s="153"/>
      <c r="T171" s="151"/>
      <c r="U171" s="153"/>
      <c r="V171" s="151"/>
      <c r="W171" s="153"/>
      <c r="X171" s="151"/>
      <c r="Y171" s="153"/>
      <c r="Z171" s="61">
        <f t="shared" si="27"/>
        <v>3340</v>
      </c>
      <c r="AA171" s="75">
        <f t="shared" si="27"/>
        <v>3340</v>
      </c>
      <c r="AB171" s="151"/>
      <c r="AC171" s="153"/>
      <c r="AD171" s="151"/>
      <c r="AE171" s="153"/>
      <c r="AF171" s="151"/>
      <c r="AG171" s="153"/>
      <c r="AH171" s="151"/>
      <c r="AI171" s="153"/>
      <c r="AJ171" s="151"/>
      <c r="AK171" s="153"/>
      <c r="AL171" s="151"/>
      <c r="AM171" s="153"/>
      <c r="AN171" s="151"/>
      <c r="AO171" s="153"/>
      <c r="AP171" s="61">
        <f t="shared" si="28"/>
        <v>3340</v>
      </c>
      <c r="AQ171" s="75">
        <f t="shared" si="28"/>
        <v>3340</v>
      </c>
      <c r="AR171" s="150" t="s">
        <v>193</v>
      </c>
      <c r="AS171" s="21">
        <f t="shared" si="23"/>
        <v>0</v>
      </c>
      <c r="AT171" s="21">
        <f t="shared" si="24"/>
        <v>0</v>
      </c>
      <c r="AU171" s="21">
        <f t="shared" si="25"/>
        <v>0</v>
      </c>
    </row>
    <row r="172" spans="1:47" x14ac:dyDescent="0.25">
      <c r="A172" s="4" t="s">
        <v>185</v>
      </c>
      <c r="B172" s="4" t="s">
        <v>69</v>
      </c>
      <c r="C172" s="5" t="s">
        <v>70</v>
      </c>
      <c r="D172" s="151">
        <v>1683</v>
      </c>
      <c r="E172" s="153">
        <v>6095</v>
      </c>
      <c r="F172" s="151"/>
      <c r="G172" s="153"/>
      <c r="H172" s="151"/>
      <c r="I172" s="153"/>
      <c r="J172" s="151"/>
      <c r="K172" s="153"/>
      <c r="L172" s="151"/>
      <c r="M172" s="153"/>
      <c r="N172" s="151"/>
      <c r="O172" s="153"/>
      <c r="P172" s="151"/>
      <c r="Q172" s="153"/>
      <c r="R172" s="151">
        <v>65</v>
      </c>
      <c r="S172" s="153">
        <v>65</v>
      </c>
      <c r="T172" s="151"/>
      <c r="U172" s="153"/>
      <c r="V172" s="151"/>
      <c r="W172" s="153"/>
      <c r="X172" s="151"/>
      <c r="Y172" s="153"/>
      <c r="Z172" s="61">
        <f t="shared" si="27"/>
        <v>1748</v>
      </c>
      <c r="AA172" s="75">
        <f t="shared" si="27"/>
        <v>6160</v>
      </c>
      <c r="AB172" s="151"/>
      <c r="AC172" s="153"/>
      <c r="AD172" s="151">
        <v>300</v>
      </c>
      <c r="AE172" s="153">
        <v>300</v>
      </c>
      <c r="AF172" s="151">
        <v>989</v>
      </c>
      <c r="AG172" s="153">
        <v>980</v>
      </c>
      <c r="AH172" s="151"/>
      <c r="AI172" s="153"/>
      <c r="AJ172" s="151"/>
      <c r="AK172" s="153"/>
      <c r="AL172" s="151"/>
      <c r="AM172" s="153"/>
      <c r="AN172" s="151"/>
      <c r="AO172" s="153"/>
      <c r="AP172" s="61">
        <f t="shared" si="28"/>
        <v>3037</v>
      </c>
      <c r="AQ172" s="75">
        <f t="shared" si="28"/>
        <v>7440</v>
      </c>
      <c r="AR172" s="150" t="s">
        <v>71</v>
      </c>
      <c r="AS172" s="21">
        <f t="shared" si="23"/>
        <v>4403</v>
      </c>
      <c r="AT172" s="21">
        <f t="shared" si="24"/>
        <v>4412</v>
      </c>
      <c r="AU172" s="21">
        <f t="shared" si="25"/>
        <v>-9</v>
      </c>
    </row>
    <row r="173" spans="1:47" x14ac:dyDescent="0.25">
      <c r="A173" s="4" t="s">
        <v>185</v>
      </c>
      <c r="B173" s="4" t="s">
        <v>77</v>
      </c>
      <c r="C173" s="5" t="s">
        <v>73</v>
      </c>
      <c r="D173" s="151">
        <v>23974</v>
      </c>
      <c r="E173" s="153">
        <v>24115</v>
      </c>
      <c r="F173" s="151">
        <v>520</v>
      </c>
      <c r="G173" s="153">
        <v>1150</v>
      </c>
      <c r="H173" s="151"/>
      <c r="I173" s="153"/>
      <c r="J173" s="151">
        <v>330</v>
      </c>
      <c r="K173" s="153">
        <v>330</v>
      </c>
      <c r="L173" s="151">
        <v>3300</v>
      </c>
      <c r="M173" s="153">
        <v>3300</v>
      </c>
      <c r="N173" s="151">
        <v>480</v>
      </c>
      <c r="O173" s="153">
        <v>460</v>
      </c>
      <c r="P173" s="151">
        <v>5400</v>
      </c>
      <c r="Q173" s="153">
        <v>5400</v>
      </c>
      <c r="R173" s="151">
        <v>1250</v>
      </c>
      <c r="S173" s="153">
        <v>1200</v>
      </c>
      <c r="T173" s="151"/>
      <c r="U173" s="153"/>
      <c r="V173" s="151"/>
      <c r="W173" s="153"/>
      <c r="X173" s="151"/>
      <c r="Y173" s="153"/>
      <c r="Z173" s="61">
        <f t="shared" si="27"/>
        <v>35254</v>
      </c>
      <c r="AA173" s="75">
        <f t="shared" si="27"/>
        <v>35955</v>
      </c>
      <c r="AB173" s="151">
        <v>25</v>
      </c>
      <c r="AC173" s="153"/>
      <c r="AD173" s="151">
        <v>7800</v>
      </c>
      <c r="AE173" s="153">
        <v>7600</v>
      </c>
      <c r="AF173" s="151">
        <v>3300</v>
      </c>
      <c r="AG173" s="153">
        <v>3250</v>
      </c>
      <c r="AH173" s="151"/>
      <c r="AI173" s="153"/>
      <c r="AJ173" s="151"/>
      <c r="AK173" s="153"/>
      <c r="AL173" s="151"/>
      <c r="AM173" s="153"/>
      <c r="AN173" s="151"/>
      <c r="AO173" s="153"/>
      <c r="AP173" s="61">
        <f t="shared" si="28"/>
        <v>46379</v>
      </c>
      <c r="AQ173" s="75">
        <f t="shared" si="28"/>
        <v>46805</v>
      </c>
      <c r="AR173" s="150" t="s">
        <v>74</v>
      </c>
      <c r="AS173" s="21">
        <f t="shared" si="23"/>
        <v>426</v>
      </c>
      <c r="AT173" s="21">
        <f t="shared" si="24"/>
        <v>141</v>
      </c>
      <c r="AU173" s="21">
        <f t="shared" si="25"/>
        <v>285</v>
      </c>
    </row>
    <row r="174" spans="1:47" x14ac:dyDescent="0.25">
      <c r="A174" s="4" t="s">
        <v>185</v>
      </c>
      <c r="B174" s="4" t="s">
        <v>97</v>
      </c>
      <c r="C174" s="5" t="s">
        <v>96</v>
      </c>
      <c r="D174" s="151"/>
      <c r="E174" s="153"/>
      <c r="F174" s="151"/>
      <c r="G174" s="153"/>
      <c r="H174" s="151"/>
      <c r="I174" s="153"/>
      <c r="J174" s="151"/>
      <c r="K174" s="153"/>
      <c r="L174" s="151"/>
      <c r="M174" s="153"/>
      <c r="N174" s="151"/>
      <c r="O174" s="153"/>
      <c r="P174" s="151"/>
      <c r="Q174" s="153"/>
      <c r="R174" s="151">
        <v>4350</v>
      </c>
      <c r="S174" s="153">
        <v>3850</v>
      </c>
      <c r="T174" s="151"/>
      <c r="U174" s="153"/>
      <c r="V174" s="151">
        <v>45650</v>
      </c>
      <c r="W174" s="153">
        <v>44000</v>
      </c>
      <c r="X174" s="151"/>
      <c r="Y174" s="153"/>
      <c r="Z174" s="61">
        <f t="shared" si="27"/>
        <v>50000</v>
      </c>
      <c r="AA174" s="75">
        <f t="shared" si="27"/>
        <v>47850</v>
      </c>
      <c r="AB174" s="151"/>
      <c r="AC174" s="153"/>
      <c r="AD174" s="151"/>
      <c r="AE174" s="153"/>
      <c r="AF174" s="151"/>
      <c r="AG174" s="153"/>
      <c r="AH174" s="151"/>
      <c r="AI174" s="153"/>
      <c r="AJ174" s="151"/>
      <c r="AK174" s="153"/>
      <c r="AL174" s="151"/>
      <c r="AM174" s="153"/>
      <c r="AN174" s="151"/>
      <c r="AO174" s="153"/>
      <c r="AP174" s="61">
        <f t="shared" si="28"/>
        <v>50000</v>
      </c>
      <c r="AQ174" s="75">
        <f t="shared" si="28"/>
        <v>47850</v>
      </c>
      <c r="AR174" s="150" t="s">
        <v>128</v>
      </c>
      <c r="AS174" s="21">
        <f t="shared" si="23"/>
        <v>-2150</v>
      </c>
      <c r="AT174" s="21">
        <f t="shared" si="24"/>
        <v>0</v>
      </c>
      <c r="AU174" s="21">
        <f t="shared" si="25"/>
        <v>-2150</v>
      </c>
    </row>
    <row r="175" spans="1:47" x14ac:dyDescent="0.25">
      <c r="A175" s="4" t="s">
        <v>185</v>
      </c>
      <c r="B175" s="4" t="s">
        <v>116</v>
      </c>
      <c r="C175" s="6" t="s">
        <v>96</v>
      </c>
      <c r="D175" s="151">
        <v>42409</v>
      </c>
      <c r="E175" s="153">
        <v>45516</v>
      </c>
      <c r="F175" s="151"/>
      <c r="G175" s="153"/>
      <c r="H175" s="151"/>
      <c r="I175" s="153"/>
      <c r="J175" s="151"/>
      <c r="K175" s="153"/>
      <c r="L175" s="151"/>
      <c r="M175" s="153"/>
      <c r="N175" s="151"/>
      <c r="O175" s="153"/>
      <c r="P175" s="151"/>
      <c r="Q175" s="153"/>
      <c r="R175" s="151"/>
      <c r="S175" s="153"/>
      <c r="T175" s="151"/>
      <c r="U175" s="153"/>
      <c r="V175" s="151"/>
      <c r="W175" s="153"/>
      <c r="X175" s="151"/>
      <c r="Y175" s="153"/>
      <c r="Z175" s="61">
        <f t="shared" si="27"/>
        <v>42409</v>
      </c>
      <c r="AA175" s="75">
        <f t="shared" si="27"/>
        <v>45516</v>
      </c>
      <c r="AB175" s="151"/>
      <c r="AC175" s="153"/>
      <c r="AD175" s="151"/>
      <c r="AE175" s="153"/>
      <c r="AF175" s="151"/>
      <c r="AG175" s="153"/>
      <c r="AH175" s="151"/>
      <c r="AI175" s="153"/>
      <c r="AJ175" s="151"/>
      <c r="AK175" s="153"/>
      <c r="AL175" s="151"/>
      <c r="AM175" s="153"/>
      <c r="AN175" s="151"/>
      <c r="AO175" s="153"/>
      <c r="AP175" s="61">
        <f t="shared" si="28"/>
        <v>42409</v>
      </c>
      <c r="AQ175" s="75">
        <f t="shared" si="28"/>
        <v>45516</v>
      </c>
      <c r="AR175" s="150" t="s">
        <v>167</v>
      </c>
      <c r="AS175" s="21">
        <f t="shared" si="23"/>
        <v>3107</v>
      </c>
      <c r="AT175" s="21">
        <f t="shared" si="24"/>
        <v>3107</v>
      </c>
      <c r="AU175" s="21">
        <f t="shared" si="25"/>
        <v>0</v>
      </c>
    </row>
    <row r="176" spans="1:47" ht="26.25" x14ac:dyDescent="0.25">
      <c r="A176" s="4" t="s">
        <v>185</v>
      </c>
      <c r="B176" s="4" t="s">
        <v>194</v>
      </c>
      <c r="C176" s="6" t="s">
        <v>96</v>
      </c>
      <c r="D176" s="151">
        <v>3000</v>
      </c>
      <c r="E176" s="153">
        <v>2000</v>
      </c>
      <c r="F176" s="151"/>
      <c r="G176" s="153"/>
      <c r="H176" s="151"/>
      <c r="I176" s="153"/>
      <c r="J176" s="151"/>
      <c r="K176" s="153"/>
      <c r="L176" s="151"/>
      <c r="M176" s="153"/>
      <c r="N176" s="151"/>
      <c r="O176" s="153"/>
      <c r="P176" s="151"/>
      <c r="Q176" s="153"/>
      <c r="R176" s="151"/>
      <c r="S176" s="153"/>
      <c r="T176" s="151"/>
      <c r="U176" s="153"/>
      <c r="V176" s="151"/>
      <c r="W176" s="153"/>
      <c r="X176" s="151"/>
      <c r="Y176" s="153"/>
      <c r="Z176" s="61">
        <f t="shared" si="27"/>
        <v>3000</v>
      </c>
      <c r="AA176" s="75">
        <f t="shared" si="27"/>
        <v>2000</v>
      </c>
      <c r="AB176" s="151"/>
      <c r="AC176" s="153"/>
      <c r="AD176" s="151"/>
      <c r="AE176" s="153"/>
      <c r="AF176" s="151"/>
      <c r="AG176" s="153"/>
      <c r="AH176" s="151"/>
      <c r="AI176" s="153"/>
      <c r="AJ176" s="151"/>
      <c r="AK176" s="153"/>
      <c r="AL176" s="151"/>
      <c r="AM176" s="153"/>
      <c r="AN176" s="151"/>
      <c r="AO176" s="153"/>
      <c r="AP176" s="61">
        <f t="shared" si="28"/>
        <v>3000</v>
      </c>
      <c r="AQ176" s="75">
        <f t="shared" si="28"/>
        <v>2000</v>
      </c>
      <c r="AR176" s="150" t="s">
        <v>167</v>
      </c>
      <c r="AS176" s="21">
        <f t="shared" si="23"/>
        <v>-1000</v>
      </c>
      <c r="AT176" s="21">
        <f t="shared" si="24"/>
        <v>-1000</v>
      </c>
      <c r="AU176" s="21">
        <f t="shared" si="25"/>
        <v>0</v>
      </c>
    </row>
    <row r="177" spans="1:47" ht="26.25" x14ac:dyDescent="0.25">
      <c r="A177" s="4" t="s">
        <v>185</v>
      </c>
      <c r="B177" s="4" t="s">
        <v>195</v>
      </c>
      <c r="C177" s="5" t="s">
        <v>73</v>
      </c>
      <c r="D177" s="151"/>
      <c r="E177" s="153"/>
      <c r="F177" s="151"/>
      <c r="G177" s="153"/>
      <c r="H177" s="151"/>
      <c r="I177" s="153"/>
      <c r="J177" s="151"/>
      <c r="K177" s="153"/>
      <c r="L177" s="151"/>
      <c r="M177" s="153"/>
      <c r="N177" s="151"/>
      <c r="O177" s="153"/>
      <c r="P177" s="151"/>
      <c r="Q177" s="153"/>
      <c r="R177" s="151">
        <v>450</v>
      </c>
      <c r="S177" s="153">
        <v>290</v>
      </c>
      <c r="T177" s="151"/>
      <c r="U177" s="153"/>
      <c r="V177" s="151"/>
      <c r="W177" s="153"/>
      <c r="X177" s="151"/>
      <c r="Y177" s="153"/>
      <c r="Z177" s="61">
        <f t="shared" si="27"/>
        <v>450</v>
      </c>
      <c r="AA177" s="75">
        <f t="shared" si="27"/>
        <v>290</v>
      </c>
      <c r="AB177" s="151"/>
      <c r="AC177" s="153"/>
      <c r="AD177" s="151">
        <v>3000</v>
      </c>
      <c r="AE177" s="153">
        <v>6695</v>
      </c>
      <c r="AF177" s="151">
        <v>200</v>
      </c>
      <c r="AG177" s="153">
        <v>155</v>
      </c>
      <c r="AH177" s="151"/>
      <c r="AI177" s="153"/>
      <c r="AJ177" s="151"/>
      <c r="AK177" s="153"/>
      <c r="AL177" s="151"/>
      <c r="AM177" s="153"/>
      <c r="AN177" s="151"/>
      <c r="AO177" s="153"/>
      <c r="AP177" s="61">
        <f t="shared" si="28"/>
        <v>3650</v>
      </c>
      <c r="AQ177" s="75">
        <f t="shared" si="28"/>
        <v>7140</v>
      </c>
      <c r="AR177" s="150" t="s">
        <v>74</v>
      </c>
      <c r="AS177" s="21">
        <f t="shared" si="23"/>
        <v>3490</v>
      </c>
      <c r="AT177" s="21">
        <f t="shared" si="24"/>
        <v>0</v>
      </c>
      <c r="AU177" s="21">
        <f t="shared" si="25"/>
        <v>3490</v>
      </c>
    </row>
    <row r="178" spans="1:47" ht="30" x14ac:dyDescent="0.25">
      <c r="A178" s="4" t="s">
        <v>185</v>
      </c>
      <c r="B178" s="4" t="s">
        <v>100</v>
      </c>
      <c r="C178" s="5" t="s">
        <v>101</v>
      </c>
      <c r="D178" s="151"/>
      <c r="E178" s="153"/>
      <c r="F178" s="151"/>
      <c r="G178" s="153"/>
      <c r="H178" s="151"/>
      <c r="I178" s="153"/>
      <c r="J178" s="151"/>
      <c r="K178" s="153"/>
      <c r="L178" s="151"/>
      <c r="M178" s="153"/>
      <c r="N178" s="151"/>
      <c r="O178" s="153"/>
      <c r="P178" s="151"/>
      <c r="Q178" s="153"/>
      <c r="R178" s="151"/>
      <c r="S178" s="153"/>
      <c r="T178" s="151"/>
      <c r="U178" s="153"/>
      <c r="V178" s="151"/>
      <c r="W178" s="153"/>
      <c r="X178" s="151"/>
      <c r="Y178" s="153"/>
      <c r="Z178" s="61">
        <f t="shared" si="27"/>
        <v>0</v>
      </c>
      <c r="AA178" s="75">
        <f t="shared" si="27"/>
        <v>0</v>
      </c>
      <c r="AB178" s="151"/>
      <c r="AC178" s="153"/>
      <c r="AD178" s="151"/>
      <c r="AE178" s="153"/>
      <c r="AF178" s="151"/>
      <c r="AG178" s="153"/>
      <c r="AH178" s="151"/>
      <c r="AI178" s="153"/>
      <c r="AJ178" s="151"/>
      <c r="AK178" s="153"/>
      <c r="AL178" s="151">
        <v>10264</v>
      </c>
      <c r="AM178" s="153">
        <v>10264</v>
      </c>
      <c r="AN178" s="151"/>
      <c r="AO178" s="153"/>
      <c r="AP178" s="61">
        <f t="shared" si="28"/>
        <v>10264</v>
      </c>
      <c r="AQ178" s="75">
        <f t="shared" si="28"/>
        <v>10264</v>
      </c>
      <c r="AR178" s="150" t="s">
        <v>102</v>
      </c>
      <c r="AS178" s="21">
        <f t="shared" si="23"/>
        <v>0</v>
      </c>
      <c r="AT178" s="21">
        <f t="shared" si="24"/>
        <v>0</v>
      </c>
      <c r="AU178" s="21">
        <f t="shared" si="25"/>
        <v>0</v>
      </c>
    </row>
    <row r="179" spans="1:47" x14ac:dyDescent="0.25">
      <c r="A179" s="4" t="s">
        <v>185</v>
      </c>
      <c r="B179" s="4" t="s">
        <v>105</v>
      </c>
      <c r="C179" s="5"/>
      <c r="D179" s="151">
        <v>10605</v>
      </c>
      <c r="E179" s="153">
        <v>12016</v>
      </c>
      <c r="F179" s="151"/>
      <c r="G179" s="153"/>
      <c r="H179" s="151"/>
      <c r="I179" s="153"/>
      <c r="J179" s="151"/>
      <c r="K179" s="153"/>
      <c r="L179" s="151"/>
      <c r="M179" s="153"/>
      <c r="N179" s="151"/>
      <c r="O179" s="153"/>
      <c r="P179" s="151"/>
      <c r="Q179" s="153"/>
      <c r="R179" s="151"/>
      <c r="S179" s="153"/>
      <c r="T179" s="151"/>
      <c r="U179" s="153"/>
      <c r="V179" s="151"/>
      <c r="W179" s="153"/>
      <c r="X179" s="151"/>
      <c r="Y179" s="153"/>
      <c r="Z179" s="61">
        <f t="shared" si="27"/>
        <v>10605</v>
      </c>
      <c r="AA179" s="75">
        <f t="shared" si="27"/>
        <v>12016</v>
      </c>
      <c r="AB179" s="151"/>
      <c r="AC179" s="153"/>
      <c r="AD179" s="151"/>
      <c r="AE179" s="153"/>
      <c r="AF179" s="151"/>
      <c r="AG179" s="153"/>
      <c r="AH179" s="151"/>
      <c r="AI179" s="153"/>
      <c r="AJ179" s="151"/>
      <c r="AK179" s="153"/>
      <c r="AL179" s="151"/>
      <c r="AM179" s="153"/>
      <c r="AN179" s="151"/>
      <c r="AO179" s="153"/>
      <c r="AP179" s="61">
        <f t="shared" si="28"/>
        <v>10605</v>
      </c>
      <c r="AQ179" s="75">
        <f t="shared" si="28"/>
        <v>12016</v>
      </c>
      <c r="AR179" s="150" t="s">
        <v>58</v>
      </c>
      <c r="AS179" s="21">
        <f t="shared" si="23"/>
        <v>1411</v>
      </c>
      <c r="AT179" s="21">
        <f t="shared" si="24"/>
        <v>1411</v>
      </c>
      <c r="AU179" s="21">
        <f t="shared" si="25"/>
        <v>0</v>
      </c>
    </row>
    <row r="180" spans="1:47" x14ac:dyDescent="0.25">
      <c r="A180" s="4" t="s">
        <v>185</v>
      </c>
      <c r="B180" s="4" t="s">
        <v>106</v>
      </c>
      <c r="C180" s="5"/>
      <c r="D180" s="151">
        <v>9817</v>
      </c>
      <c r="E180" s="153">
        <v>11145</v>
      </c>
      <c r="F180" s="151"/>
      <c r="G180" s="153"/>
      <c r="H180" s="151"/>
      <c r="I180" s="153"/>
      <c r="J180" s="151"/>
      <c r="K180" s="153"/>
      <c r="L180" s="151"/>
      <c r="M180" s="153"/>
      <c r="N180" s="151"/>
      <c r="O180" s="153"/>
      <c r="P180" s="151"/>
      <c r="Q180" s="153"/>
      <c r="R180" s="151"/>
      <c r="S180" s="153"/>
      <c r="T180" s="151"/>
      <c r="U180" s="153"/>
      <c r="V180" s="151"/>
      <c r="W180" s="153"/>
      <c r="X180" s="151"/>
      <c r="Y180" s="153"/>
      <c r="Z180" s="61">
        <f t="shared" si="27"/>
        <v>9817</v>
      </c>
      <c r="AA180" s="75">
        <f t="shared" si="27"/>
        <v>11145</v>
      </c>
      <c r="AB180" s="151"/>
      <c r="AC180" s="153"/>
      <c r="AD180" s="151"/>
      <c r="AE180" s="153"/>
      <c r="AF180" s="151"/>
      <c r="AG180" s="153"/>
      <c r="AH180" s="151"/>
      <c r="AI180" s="153"/>
      <c r="AJ180" s="151"/>
      <c r="AK180" s="153"/>
      <c r="AL180" s="151"/>
      <c r="AM180" s="153"/>
      <c r="AN180" s="151"/>
      <c r="AO180" s="153"/>
      <c r="AP180" s="61">
        <f t="shared" si="28"/>
        <v>9817</v>
      </c>
      <c r="AQ180" s="75">
        <f t="shared" si="28"/>
        <v>11145</v>
      </c>
      <c r="AR180" s="150" t="s">
        <v>58</v>
      </c>
      <c r="AS180" s="21">
        <f t="shared" si="23"/>
        <v>1328</v>
      </c>
      <c r="AT180" s="21">
        <f t="shared" si="24"/>
        <v>1328</v>
      </c>
      <c r="AU180" s="21">
        <f t="shared" si="25"/>
        <v>0</v>
      </c>
    </row>
    <row r="181" spans="1:47" ht="30" x14ac:dyDescent="0.25">
      <c r="A181" s="4" t="s">
        <v>185</v>
      </c>
      <c r="B181" s="4" t="s">
        <v>183</v>
      </c>
      <c r="C181" s="5" t="s">
        <v>104</v>
      </c>
      <c r="D181" s="151"/>
      <c r="E181" s="153"/>
      <c r="F181" s="151"/>
      <c r="G181" s="153"/>
      <c r="H181" s="151"/>
      <c r="I181" s="153"/>
      <c r="J181" s="151"/>
      <c r="K181" s="153"/>
      <c r="L181" s="151"/>
      <c r="M181" s="153"/>
      <c r="N181" s="151"/>
      <c r="O181" s="153"/>
      <c r="P181" s="151"/>
      <c r="Q181" s="153"/>
      <c r="R181" s="151">
        <v>180</v>
      </c>
      <c r="S181" s="153">
        <v>180</v>
      </c>
      <c r="T181" s="151"/>
      <c r="U181" s="153"/>
      <c r="V181" s="151"/>
      <c r="W181" s="153"/>
      <c r="X181" s="151"/>
      <c r="Y181" s="153"/>
      <c r="Z181" s="61">
        <f t="shared" si="27"/>
        <v>180</v>
      </c>
      <c r="AA181" s="75">
        <f t="shared" si="27"/>
        <v>180</v>
      </c>
      <c r="AB181" s="151"/>
      <c r="AC181" s="153"/>
      <c r="AD181" s="151"/>
      <c r="AE181" s="153"/>
      <c r="AF181" s="151"/>
      <c r="AG181" s="153"/>
      <c r="AH181" s="151"/>
      <c r="AI181" s="153"/>
      <c r="AJ181" s="151"/>
      <c r="AK181" s="153"/>
      <c r="AL181" s="151"/>
      <c r="AM181" s="153"/>
      <c r="AN181" s="151"/>
      <c r="AO181" s="153"/>
      <c r="AP181" s="61">
        <f t="shared" si="28"/>
        <v>180</v>
      </c>
      <c r="AQ181" s="75">
        <f t="shared" si="28"/>
        <v>180</v>
      </c>
      <c r="AR181" s="150" t="s">
        <v>102</v>
      </c>
      <c r="AS181" s="21">
        <f t="shared" si="23"/>
        <v>0</v>
      </c>
      <c r="AT181" s="21">
        <f t="shared" si="24"/>
        <v>0</v>
      </c>
      <c r="AU181" s="21">
        <f t="shared" si="25"/>
        <v>0</v>
      </c>
    </row>
    <row r="182" spans="1:47" x14ac:dyDescent="0.25">
      <c r="A182" s="4" t="s">
        <v>185</v>
      </c>
      <c r="B182" s="4" t="s">
        <v>90</v>
      </c>
      <c r="C182" s="5" t="s">
        <v>86</v>
      </c>
      <c r="D182" s="151"/>
      <c r="E182" s="153"/>
      <c r="F182" s="151"/>
      <c r="G182" s="153"/>
      <c r="H182" s="151"/>
      <c r="I182" s="153"/>
      <c r="J182" s="151"/>
      <c r="K182" s="153"/>
      <c r="L182" s="151"/>
      <c r="M182" s="153"/>
      <c r="N182" s="151"/>
      <c r="O182" s="153"/>
      <c r="P182" s="151"/>
      <c r="Q182" s="153"/>
      <c r="R182" s="151"/>
      <c r="S182" s="153"/>
      <c r="T182" s="151">
        <v>2400</v>
      </c>
      <c r="U182" s="153">
        <v>2300</v>
      </c>
      <c r="V182" s="151"/>
      <c r="W182" s="153"/>
      <c r="X182" s="151"/>
      <c r="Y182" s="153"/>
      <c r="Z182" s="61">
        <f t="shared" si="27"/>
        <v>2400</v>
      </c>
      <c r="AA182" s="75">
        <f t="shared" si="27"/>
        <v>2300</v>
      </c>
      <c r="AB182" s="151"/>
      <c r="AC182" s="153"/>
      <c r="AD182" s="151"/>
      <c r="AE182" s="153"/>
      <c r="AF182" s="151"/>
      <c r="AG182" s="153"/>
      <c r="AH182" s="151"/>
      <c r="AI182" s="153"/>
      <c r="AJ182" s="151"/>
      <c r="AK182" s="153"/>
      <c r="AL182" s="151"/>
      <c r="AM182" s="153"/>
      <c r="AN182" s="151"/>
      <c r="AO182" s="153"/>
      <c r="AP182" s="61">
        <f t="shared" si="28"/>
        <v>2400</v>
      </c>
      <c r="AQ182" s="75">
        <f t="shared" si="28"/>
        <v>2300</v>
      </c>
      <c r="AR182" s="150" t="s">
        <v>58</v>
      </c>
      <c r="AS182" s="21">
        <f t="shared" si="23"/>
        <v>-100</v>
      </c>
      <c r="AT182" s="21">
        <f t="shared" si="24"/>
        <v>0</v>
      </c>
      <c r="AU182" s="21">
        <f t="shared" si="25"/>
        <v>-100</v>
      </c>
    </row>
    <row r="183" spans="1:47" x14ac:dyDescent="0.25">
      <c r="A183" s="4" t="s">
        <v>185</v>
      </c>
      <c r="B183" s="4" t="s">
        <v>197</v>
      </c>
      <c r="C183" s="5" t="s">
        <v>198</v>
      </c>
      <c r="D183" s="151"/>
      <c r="E183" s="153"/>
      <c r="F183" s="151"/>
      <c r="G183" s="153"/>
      <c r="H183" s="151"/>
      <c r="I183" s="153"/>
      <c r="J183" s="151"/>
      <c r="K183" s="153"/>
      <c r="L183" s="151"/>
      <c r="M183" s="153"/>
      <c r="N183" s="151"/>
      <c r="O183" s="153"/>
      <c r="P183" s="151"/>
      <c r="Q183" s="153"/>
      <c r="R183" s="151"/>
      <c r="S183" s="153"/>
      <c r="T183" s="151"/>
      <c r="U183" s="153"/>
      <c r="V183" s="151"/>
      <c r="W183" s="153"/>
      <c r="X183" s="151"/>
      <c r="Y183" s="153"/>
      <c r="Z183" s="61">
        <f t="shared" si="27"/>
        <v>0</v>
      </c>
      <c r="AA183" s="75">
        <f t="shared" si="27"/>
        <v>0</v>
      </c>
      <c r="AB183" s="151"/>
      <c r="AC183" s="153"/>
      <c r="AD183" s="151">
        <v>65</v>
      </c>
      <c r="AE183" s="153">
        <v>65</v>
      </c>
      <c r="AF183" s="151">
        <v>615</v>
      </c>
      <c r="AG183" s="153">
        <v>605</v>
      </c>
      <c r="AH183" s="151"/>
      <c r="AI183" s="153"/>
      <c r="AJ183" s="151"/>
      <c r="AK183" s="153"/>
      <c r="AL183" s="151"/>
      <c r="AM183" s="153"/>
      <c r="AN183" s="151"/>
      <c r="AO183" s="153"/>
      <c r="AP183" s="61">
        <f t="shared" si="28"/>
        <v>680</v>
      </c>
      <c r="AQ183" s="75">
        <f t="shared" si="28"/>
        <v>670</v>
      </c>
      <c r="AR183" s="150" t="s">
        <v>58</v>
      </c>
      <c r="AS183" s="21">
        <f t="shared" si="23"/>
        <v>-10</v>
      </c>
      <c r="AT183" s="21">
        <f t="shared" si="24"/>
        <v>0</v>
      </c>
      <c r="AU183" s="21">
        <f t="shared" si="25"/>
        <v>-10</v>
      </c>
    </row>
    <row r="184" spans="1:47" ht="51.75" x14ac:dyDescent="0.25">
      <c r="A184" s="4" t="s">
        <v>185</v>
      </c>
      <c r="B184" s="4" t="s">
        <v>199</v>
      </c>
      <c r="C184" s="5" t="s">
        <v>60</v>
      </c>
      <c r="D184" s="151"/>
      <c r="E184" s="153"/>
      <c r="F184" s="151"/>
      <c r="G184" s="153"/>
      <c r="H184" s="151"/>
      <c r="I184" s="153"/>
      <c r="J184" s="151"/>
      <c r="K184" s="153"/>
      <c r="L184" s="151"/>
      <c r="M184" s="153"/>
      <c r="N184" s="151"/>
      <c r="O184" s="153"/>
      <c r="P184" s="151"/>
      <c r="Q184" s="153"/>
      <c r="R184" s="151"/>
      <c r="S184" s="153"/>
      <c r="T184" s="151"/>
      <c r="U184" s="153"/>
      <c r="V184" s="151"/>
      <c r="W184" s="153"/>
      <c r="X184" s="151"/>
      <c r="Y184" s="153"/>
      <c r="Z184" s="61">
        <f t="shared" si="27"/>
        <v>0</v>
      </c>
      <c r="AA184" s="75">
        <f t="shared" si="27"/>
        <v>0</v>
      </c>
      <c r="AB184" s="151"/>
      <c r="AC184" s="153"/>
      <c r="AD184" s="151">
        <v>4000</v>
      </c>
      <c r="AE184" s="153">
        <v>3950</v>
      </c>
      <c r="AF184" s="151"/>
      <c r="AG184" s="153"/>
      <c r="AH184" s="151"/>
      <c r="AI184" s="153"/>
      <c r="AJ184" s="151"/>
      <c r="AK184" s="153"/>
      <c r="AL184" s="151"/>
      <c r="AM184" s="153"/>
      <c r="AN184" s="151"/>
      <c r="AO184" s="153"/>
      <c r="AP184" s="61">
        <f t="shared" si="28"/>
        <v>4000</v>
      </c>
      <c r="AQ184" s="75">
        <f t="shared" si="28"/>
        <v>3950</v>
      </c>
      <c r="AR184" s="150" t="s">
        <v>61</v>
      </c>
      <c r="AS184" s="21">
        <f t="shared" si="23"/>
        <v>-50</v>
      </c>
      <c r="AT184" s="21">
        <f t="shared" si="24"/>
        <v>0</v>
      </c>
      <c r="AU184" s="21">
        <f t="shared" si="25"/>
        <v>-50</v>
      </c>
    </row>
    <row r="185" spans="1:47" x14ac:dyDescent="0.25">
      <c r="A185" s="16" t="s">
        <v>200</v>
      </c>
      <c r="B185" s="16" t="s">
        <v>108</v>
      </c>
      <c r="C185" s="17"/>
      <c r="D185" s="18">
        <f t="shared" ref="D185:AQ185" si="29">SUM(D157:D184)</f>
        <v>544623</v>
      </c>
      <c r="E185" s="105">
        <f t="shared" si="29"/>
        <v>611275</v>
      </c>
      <c r="F185" s="18">
        <f t="shared" si="29"/>
        <v>4130</v>
      </c>
      <c r="G185" s="18">
        <f t="shared" si="29"/>
        <v>5093</v>
      </c>
      <c r="H185" s="18">
        <f t="shared" si="29"/>
        <v>30570</v>
      </c>
      <c r="I185" s="18">
        <f t="shared" si="29"/>
        <v>60927</v>
      </c>
      <c r="J185" s="18">
        <f t="shared" si="29"/>
        <v>8282</v>
      </c>
      <c r="K185" s="18">
        <f t="shared" si="29"/>
        <v>8985</v>
      </c>
      <c r="L185" s="18">
        <f t="shared" si="29"/>
        <v>30130</v>
      </c>
      <c r="M185" s="18">
        <f t="shared" si="29"/>
        <v>28110</v>
      </c>
      <c r="N185" s="18">
        <f t="shared" si="29"/>
        <v>5170</v>
      </c>
      <c r="O185" s="18">
        <f t="shared" si="29"/>
        <v>5585</v>
      </c>
      <c r="P185" s="18">
        <f t="shared" si="29"/>
        <v>29850</v>
      </c>
      <c r="Q185" s="18">
        <f t="shared" si="29"/>
        <v>5800</v>
      </c>
      <c r="R185" s="18">
        <f t="shared" si="29"/>
        <v>15410</v>
      </c>
      <c r="S185" s="18">
        <f t="shared" si="29"/>
        <v>14575</v>
      </c>
      <c r="T185" s="18">
        <f t="shared" si="29"/>
        <v>54430</v>
      </c>
      <c r="U185" s="18">
        <f t="shared" si="29"/>
        <v>54410</v>
      </c>
      <c r="V185" s="18">
        <f t="shared" si="29"/>
        <v>45650</v>
      </c>
      <c r="W185" s="18">
        <f t="shared" si="29"/>
        <v>44000</v>
      </c>
      <c r="X185" s="18">
        <f t="shared" si="29"/>
        <v>0</v>
      </c>
      <c r="Y185" s="18">
        <f t="shared" si="29"/>
        <v>0</v>
      </c>
      <c r="Z185" s="18">
        <f t="shared" si="29"/>
        <v>768245</v>
      </c>
      <c r="AA185" s="18">
        <f t="shared" si="29"/>
        <v>838760</v>
      </c>
      <c r="AB185" s="18">
        <f t="shared" si="29"/>
        <v>260</v>
      </c>
      <c r="AC185" s="18">
        <f t="shared" si="29"/>
        <v>235</v>
      </c>
      <c r="AD185" s="18">
        <f t="shared" si="29"/>
        <v>49185</v>
      </c>
      <c r="AE185" s="18">
        <f t="shared" si="29"/>
        <v>52030</v>
      </c>
      <c r="AF185" s="18">
        <f t="shared" si="29"/>
        <v>57034</v>
      </c>
      <c r="AG185" s="18">
        <f t="shared" si="29"/>
        <v>56170</v>
      </c>
      <c r="AH185" s="18">
        <f t="shared" si="29"/>
        <v>2514</v>
      </c>
      <c r="AI185" s="18">
        <f t="shared" si="29"/>
        <v>2455</v>
      </c>
      <c r="AJ185" s="18">
        <f t="shared" si="29"/>
        <v>0</v>
      </c>
      <c r="AK185" s="18">
        <f t="shared" si="29"/>
        <v>0</v>
      </c>
      <c r="AL185" s="18">
        <f t="shared" si="29"/>
        <v>10264</v>
      </c>
      <c r="AM185" s="18">
        <f t="shared" si="29"/>
        <v>10264</v>
      </c>
      <c r="AN185" s="18">
        <f t="shared" si="29"/>
        <v>180</v>
      </c>
      <c r="AO185" s="18">
        <f t="shared" si="29"/>
        <v>0</v>
      </c>
      <c r="AP185" s="18">
        <f t="shared" si="29"/>
        <v>887682</v>
      </c>
      <c r="AQ185" s="18">
        <f t="shared" si="29"/>
        <v>959914</v>
      </c>
      <c r="AR185" s="150"/>
      <c r="AS185" s="156">
        <f t="shared" si="23"/>
        <v>72232</v>
      </c>
      <c r="AT185" s="156">
        <f t="shared" si="24"/>
        <v>66652</v>
      </c>
      <c r="AU185" s="156">
        <f t="shared" si="25"/>
        <v>5580</v>
      </c>
    </row>
    <row r="186" spans="1:47" x14ac:dyDescent="0.25">
      <c r="A186" s="4" t="s">
        <v>201</v>
      </c>
      <c r="B186" s="11" t="s">
        <v>56</v>
      </c>
      <c r="C186" s="5" t="s">
        <v>57</v>
      </c>
      <c r="D186" s="151">
        <v>53867</v>
      </c>
      <c r="E186" s="153">
        <v>49520</v>
      </c>
      <c r="F186" s="151">
        <v>1240</v>
      </c>
      <c r="G186" s="153">
        <v>1100</v>
      </c>
      <c r="H186" s="151"/>
      <c r="I186" s="153"/>
      <c r="J186" s="151">
        <v>150</v>
      </c>
      <c r="K186" s="153">
        <v>130</v>
      </c>
      <c r="L186" s="151">
        <v>6400</v>
      </c>
      <c r="M186" s="153">
        <v>6400</v>
      </c>
      <c r="N186" s="151">
        <v>150</v>
      </c>
      <c r="O186" s="153">
        <v>160</v>
      </c>
      <c r="P186" s="151"/>
      <c r="Q186" s="153"/>
      <c r="R186" s="151">
        <v>2600</v>
      </c>
      <c r="S186" s="153">
        <v>2600</v>
      </c>
      <c r="T186" s="151"/>
      <c r="U186" s="153"/>
      <c r="V186" s="151"/>
      <c r="W186" s="153"/>
      <c r="X186" s="151"/>
      <c r="Y186" s="153"/>
      <c r="Z186" s="61">
        <f t="shared" ref="Z186:AA210" si="30">D186+F186+H186+J186+L186+P186+R186+T186+V186+X186+N186</f>
        <v>64407</v>
      </c>
      <c r="AA186" s="75">
        <f t="shared" si="30"/>
        <v>59910</v>
      </c>
      <c r="AB186" s="151">
        <v>40</v>
      </c>
      <c r="AC186" s="153"/>
      <c r="AD186" s="151">
        <v>7575</v>
      </c>
      <c r="AE186" s="153">
        <v>4570</v>
      </c>
      <c r="AF186" s="151">
        <v>2530</v>
      </c>
      <c r="AG186" s="153">
        <v>1550</v>
      </c>
      <c r="AH186" s="151"/>
      <c r="AI186" s="153"/>
      <c r="AJ186" s="151"/>
      <c r="AK186" s="153"/>
      <c r="AL186" s="151"/>
      <c r="AM186" s="153"/>
      <c r="AN186" s="151"/>
      <c r="AO186" s="153"/>
      <c r="AP186" s="61">
        <f t="shared" ref="AP186:AQ210" si="31">Z186+AB186+AD186+AF186+AH186+AJ186+AL186+AN186</f>
        <v>74552</v>
      </c>
      <c r="AQ186" s="75">
        <f t="shared" si="31"/>
        <v>66030</v>
      </c>
      <c r="AR186" s="150" t="s">
        <v>58</v>
      </c>
      <c r="AS186" s="21">
        <f t="shared" si="23"/>
        <v>-8522</v>
      </c>
      <c r="AT186" s="21">
        <f t="shared" si="24"/>
        <v>-4347</v>
      </c>
      <c r="AU186" s="21">
        <f t="shared" si="25"/>
        <v>-4175</v>
      </c>
    </row>
    <row r="187" spans="1:47" x14ac:dyDescent="0.25">
      <c r="A187" s="4" t="s">
        <v>201</v>
      </c>
      <c r="B187" s="11" t="s">
        <v>98</v>
      </c>
      <c r="C187" s="5" t="s">
        <v>99</v>
      </c>
      <c r="D187" s="151"/>
      <c r="E187" s="153"/>
      <c r="F187" s="151"/>
      <c r="G187" s="153"/>
      <c r="H187" s="151"/>
      <c r="I187" s="153"/>
      <c r="J187" s="151"/>
      <c r="K187" s="153"/>
      <c r="L187" s="151"/>
      <c r="M187" s="153"/>
      <c r="N187" s="151"/>
      <c r="O187" s="153"/>
      <c r="P187" s="151"/>
      <c r="Q187" s="153"/>
      <c r="R187" s="151">
        <v>550</v>
      </c>
      <c r="S187" s="153">
        <v>500</v>
      </c>
      <c r="T187" s="151"/>
      <c r="U187" s="153"/>
      <c r="V187" s="151"/>
      <c r="W187" s="153"/>
      <c r="X187" s="151"/>
      <c r="Y187" s="153"/>
      <c r="Z187" s="61">
        <f t="shared" si="30"/>
        <v>550</v>
      </c>
      <c r="AA187" s="75">
        <f t="shared" si="30"/>
        <v>500</v>
      </c>
      <c r="AB187" s="151"/>
      <c r="AC187" s="153"/>
      <c r="AD187" s="151">
        <v>30</v>
      </c>
      <c r="AE187" s="153"/>
      <c r="AF187" s="151">
        <v>120</v>
      </c>
      <c r="AG187" s="153">
        <v>100</v>
      </c>
      <c r="AH187" s="151"/>
      <c r="AI187" s="153"/>
      <c r="AJ187" s="151"/>
      <c r="AK187" s="153"/>
      <c r="AL187" s="151"/>
      <c r="AM187" s="153"/>
      <c r="AN187" s="151"/>
      <c r="AO187" s="153"/>
      <c r="AP187" s="61">
        <f t="shared" si="31"/>
        <v>700</v>
      </c>
      <c r="AQ187" s="75">
        <f t="shared" si="31"/>
        <v>600</v>
      </c>
      <c r="AR187" s="150" t="s">
        <v>58</v>
      </c>
      <c r="AS187" s="21">
        <f t="shared" si="23"/>
        <v>-100</v>
      </c>
      <c r="AT187" s="21">
        <f t="shared" si="24"/>
        <v>0</v>
      </c>
      <c r="AU187" s="21">
        <f t="shared" si="25"/>
        <v>-100</v>
      </c>
    </row>
    <row r="188" spans="1:47" ht="26.25" x14ac:dyDescent="0.25">
      <c r="A188" s="11" t="s">
        <v>201</v>
      </c>
      <c r="B188" s="11" t="s">
        <v>65</v>
      </c>
      <c r="C188" s="5" t="s">
        <v>60</v>
      </c>
      <c r="D188" s="151">
        <v>108107</v>
      </c>
      <c r="E188" s="153">
        <v>120589</v>
      </c>
      <c r="F188" s="151">
        <v>180</v>
      </c>
      <c r="G188" s="153">
        <v>250</v>
      </c>
      <c r="H188" s="151"/>
      <c r="I188" s="153"/>
      <c r="J188" s="151">
        <v>50</v>
      </c>
      <c r="K188" s="153">
        <v>300</v>
      </c>
      <c r="L188" s="151">
        <v>800</v>
      </c>
      <c r="M188" s="153">
        <v>1500</v>
      </c>
      <c r="N188" s="151">
        <v>400</v>
      </c>
      <c r="O188" s="153">
        <v>500</v>
      </c>
      <c r="P188" s="151">
        <v>200</v>
      </c>
      <c r="Q188" s="153">
        <v>200</v>
      </c>
      <c r="R188" s="151">
        <v>6800</v>
      </c>
      <c r="S188" s="153">
        <v>6800</v>
      </c>
      <c r="T188" s="151"/>
      <c r="U188" s="153"/>
      <c r="V188" s="151"/>
      <c r="W188" s="153"/>
      <c r="X188" s="151"/>
      <c r="Y188" s="153"/>
      <c r="Z188" s="61">
        <f t="shared" si="30"/>
        <v>116537</v>
      </c>
      <c r="AA188" s="75">
        <f t="shared" si="30"/>
        <v>130139</v>
      </c>
      <c r="AB188" s="151">
        <v>40</v>
      </c>
      <c r="AC188" s="153"/>
      <c r="AD188" s="151">
        <v>10350</v>
      </c>
      <c r="AE188" s="153">
        <v>16280</v>
      </c>
      <c r="AF188" s="151">
        <v>9005</v>
      </c>
      <c r="AG188" s="153">
        <v>8805</v>
      </c>
      <c r="AH188" s="151"/>
      <c r="AI188" s="153"/>
      <c r="AJ188" s="151"/>
      <c r="AK188" s="153"/>
      <c r="AL188" s="151"/>
      <c r="AM188" s="153"/>
      <c r="AN188" s="151"/>
      <c r="AO188" s="153"/>
      <c r="AP188" s="61">
        <f t="shared" si="31"/>
        <v>135932</v>
      </c>
      <c r="AQ188" s="75">
        <f t="shared" si="31"/>
        <v>155224</v>
      </c>
      <c r="AR188" s="150" t="s">
        <v>167</v>
      </c>
      <c r="AS188" s="21">
        <f t="shared" si="23"/>
        <v>19292</v>
      </c>
      <c r="AT188" s="21">
        <f t="shared" si="24"/>
        <v>12482</v>
      </c>
      <c r="AU188" s="21">
        <f t="shared" si="25"/>
        <v>6810</v>
      </c>
    </row>
    <row r="189" spans="1:47" x14ac:dyDescent="0.25">
      <c r="A189" s="4" t="s">
        <v>201</v>
      </c>
      <c r="B189" s="11" t="s">
        <v>202</v>
      </c>
      <c r="C189" s="5" t="s">
        <v>67</v>
      </c>
      <c r="D189" s="151">
        <v>9873</v>
      </c>
      <c r="E189" s="153">
        <v>10129</v>
      </c>
      <c r="F189" s="151">
        <v>55</v>
      </c>
      <c r="G189" s="153">
        <v>55</v>
      </c>
      <c r="H189" s="151">
        <v>662</v>
      </c>
      <c r="I189" s="153">
        <v>662</v>
      </c>
      <c r="J189" s="151">
        <v>71</v>
      </c>
      <c r="K189" s="153">
        <v>71</v>
      </c>
      <c r="L189" s="151">
        <v>266</v>
      </c>
      <c r="M189" s="153">
        <v>266</v>
      </c>
      <c r="N189" s="151">
        <v>30</v>
      </c>
      <c r="O189" s="153">
        <v>30</v>
      </c>
      <c r="P189" s="151"/>
      <c r="Q189" s="153"/>
      <c r="R189" s="151"/>
      <c r="S189" s="153"/>
      <c r="T189" s="151"/>
      <c r="U189" s="153"/>
      <c r="V189" s="151"/>
      <c r="W189" s="153"/>
      <c r="X189" s="151"/>
      <c r="Y189" s="153"/>
      <c r="Z189" s="61">
        <f t="shared" si="30"/>
        <v>10957</v>
      </c>
      <c r="AA189" s="75">
        <f t="shared" si="30"/>
        <v>11213</v>
      </c>
      <c r="AB189" s="151"/>
      <c r="AC189" s="153"/>
      <c r="AD189" s="151">
        <v>220</v>
      </c>
      <c r="AE189" s="153">
        <v>300</v>
      </c>
      <c r="AF189" s="151">
        <v>750</v>
      </c>
      <c r="AG189" s="153">
        <v>250</v>
      </c>
      <c r="AH189" s="151"/>
      <c r="AI189" s="153"/>
      <c r="AJ189" s="151"/>
      <c r="AK189" s="153"/>
      <c r="AL189" s="151"/>
      <c r="AM189" s="153"/>
      <c r="AN189" s="151"/>
      <c r="AO189" s="153"/>
      <c r="AP189" s="61">
        <f t="shared" si="31"/>
        <v>11927</v>
      </c>
      <c r="AQ189" s="75">
        <f t="shared" si="31"/>
        <v>11763</v>
      </c>
      <c r="AR189" s="150" t="s">
        <v>68</v>
      </c>
      <c r="AS189" s="21">
        <f t="shared" si="23"/>
        <v>-164</v>
      </c>
      <c r="AT189" s="21">
        <f t="shared" si="24"/>
        <v>256</v>
      </c>
      <c r="AU189" s="21">
        <f t="shared" si="25"/>
        <v>-420</v>
      </c>
    </row>
    <row r="190" spans="1:47" x14ac:dyDescent="0.25">
      <c r="A190" s="4" t="s">
        <v>201</v>
      </c>
      <c r="B190" s="11" t="s">
        <v>203</v>
      </c>
      <c r="C190" s="5" t="s">
        <v>73</v>
      </c>
      <c r="D190" s="151">
        <v>7445</v>
      </c>
      <c r="E190" s="153">
        <v>8083</v>
      </c>
      <c r="F190" s="151">
        <v>15</v>
      </c>
      <c r="G190" s="153">
        <v>15</v>
      </c>
      <c r="H190" s="151">
        <v>820</v>
      </c>
      <c r="I190" s="153">
        <v>800</v>
      </c>
      <c r="J190" s="151">
        <v>15</v>
      </c>
      <c r="K190" s="153">
        <v>15</v>
      </c>
      <c r="L190" s="151">
        <v>220</v>
      </c>
      <c r="M190" s="153">
        <v>200</v>
      </c>
      <c r="N190" s="151">
        <v>40</v>
      </c>
      <c r="O190" s="153">
        <v>40</v>
      </c>
      <c r="P190" s="151"/>
      <c r="Q190" s="153"/>
      <c r="R190" s="151">
        <v>25</v>
      </c>
      <c r="S190" s="153">
        <v>25</v>
      </c>
      <c r="T190" s="151"/>
      <c r="U190" s="153"/>
      <c r="V190" s="151"/>
      <c r="W190" s="153"/>
      <c r="X190" s="151"/>
      <c r="Y190" s="153"/>
      <c r="Z190" s="61">
        <f t="shared" si="30"/>
        <v>8580</v>
      </c>
      <c r="AA190" s="75">
        <f t="shared" si="30"/>
        <v>9178</v>
      </c>
      <c r="AB190" s="151">
        <v>15</v>
      </c>
      <c r="AC190" s="153">
        <v>15</v>
      </c>
      <c r="AD190" s="151">
        <v>335</v>
      </c>
      <c r="AE190" s="153">
        <v>300</v>
      </c>
      <c r="AF190" s="151">
        <v>1860</v>
      </c>
      <c r="AG190" s="153">
        <v>1700</v>
      </c>
      <c r="AH190" s="151">
        <v>1491</v>
      </c>
      <c r="AI190" s="153">
        <v>1471</v>
      </c>
      <c r="AJ190" s="151"/>
      <c r="AK190" s="153"/>
      <c r="AL190" s="151"/>
      <c r="AM190" s="153"/>
      <c r="AN190" s="151"/>
      <c r="AO190" s="153"/>
      <c r="AP190" s="61">
        <f t="shared" si="31"/>
        <v>12281</v>
      </c>
      <c r="AQ190" s="75">
        <f t="shared" si="31"/>
        <v>12664</v>
      </c>
      <c r="AR190" s="150" t="s">
        <v>74</v>
      </c>
      <c r="AS190" s="21">
        <f t="shared" si="23"/>
        <v>383</v>
      </c>
      <c r="AT190" s="21">
        <f t="shared" si="24"/>
        <v>638</v>
      </c>
      <c r="AU190" s="21">
        <f t="shared" si="25"/>
        <v>-255</v>
      </c>
    </row>
    <row r="191" spans="1:47" x14ac:dyDescent="0.25">
      <c r="A191" s="4" t="s">
        <v>201</v>
      </c>
      <c r="B191" s="11" t="s">
        <v>204</v>
      </c>
      <c r="C191" s="5" t="s">
        <v>73</v>
      </c>
      <c r="D191" s="151">
        <v>4929</v>
      </c>
      <c r="E191" s="153">
        <v>5339</v>
      </c>
      <c r="F191" s="151">
        <v>140</v>
      </c>
      <c r="G191" s="153">
        <v>140</v>
      </c>
      <c r="H191" s="151"/>
      <c r="I191" s="153"/>
      <c r="J191" s="151">
        <v>10</v>
      </c>
      <c r="K191" s="153">
        <v>10</v>
      </c>
      <c r="L191" s="151">
        <v>70</v>
      </c>
      <c r="M191" s="153">
        <v>70</v>
      </c>
      <c r="N191" s="151">
        <v>15</v>
      </c>
      <c r="O191" s="153">
        <v>15</v>
      </c>
      <c r="P191" s="151">
        <v>300</v>
      </c>
      <c r="Q191" s="153">
        <v>300</v>
      </c>
      <c r="R191" s="151">
        <v>30</v>
      </c>
      <c r="S191" s="153">
        <v>30</v>
      </c>
      <c r="T191" s="151"/>
      <c r="U191" s="153"/>
      <c r="V191" s="151"/>
      <c r="W191" s="153"/>
      <c r="X191" s="151"/>
      <c r="Y191" s="153"/>
      <c r="Z191" s="61">
        <f t="shared" si="30"/>
        <v>5494</v>
      </c>
      <c r="AA191" s="75">
        <f t="shared" si="30"/>
        <v>5904</v>
      </c>
      <c r="AB191" s="151">
        <v>30</v>
      </c>
      <c r="AC191" s="153">
        <v>15</v>
      </c>
      <c r="AD191" s="151">
        <v>125</v>
      </c>
      <c r="AE191" s="153">
        <v>100</v>
      </c>
      <c r="AF191" s="151">
        <v>520</v>
      </c>
      <c r="AG191" s="153">
        <v>420</v>
      </c>
      <c r="AH191" s="151">
        <v>900</v>
      </c>
      <c r="AI191" s="153">
        <v>887</v>
      </c>
      <c r="AJ191" s="151"/>
      <c r="AK191" s="153"/>
      <c r="AL191" s="151"/>
      <c r="AM191" s="153"/>
      <c r="AN191" s="151"/>
      <c r="AO191" s="153"/>
      <c r="AP191" s="61">
        <f t="shared" si="31"/>
        <v>7069</v>
      </c>
      <c r="AQ191" s="75">
        <f t="shared" si="31"/>
        <v>7326</v>
      </c>
      <c r="AR191" s="150" t="s">
        <v>74</v>
      </c>
      <c r="AS191" s="21">
        <f t="shared" si="23"/>
        <v>257</v>
      </c>
      <c r="AT191" s="21">
        <f t="shared" si="24"/>
        <v>410</v>
      </c>
      <c r="AU191" s="21">
        <f t="shared" si="25"/>
        <v>-153</v>
      </c>
    </row>
    <row r="192" spans="1:47" x14ac:dyDescent="0.25">
      <c r="A192" s="11" t="s">
        <v>201</v>
      </c>
      <c r="B192" s="11" t="s">
        <v>77</v>
      </c>
      <c r="C192" s="12" t="s">
        <v>73</v>
      </c>
      <c r="D192" s="151">
        <v>20549</v>
      </c>
      <c r="E192" s="153">
        <v>20644</v>
      </c>
      <c r="F192" s="151">
        <v>96</v>
      </c>
      <c r="G192" s="153">
        <v>70</v>
      </c>
      <c r="H192" s="151"/>
      <c r="I192" s="153"/>
      <c r="J192" s="151">
        <v>40</v>
      </c>
      <c r="K192" s="153">
        <v>40</v>
      </c>
      <c r="L192" s="151">
        <v>1350</v>
      </c>
      <c r="M192" s="153">
        <v>1350</v>
      </c>
      <c r="N192" s="151">
        <v>120</v>
      </c>
      <c r="O192" s="153">
        <v>130</v>
      </c>
      <c r="P192" s="151">
        <v>3700</v>
      </c>
      <c r="Q192" s="153">
        <v>3700</v>
      </c>
      <c r="R192" s="151">
        <v>450</v>
      </c>
      <c r="S192" s="153">
        <v>400</v>
      </c>
      <c r="T192" s="151"/>
      <c r="U192" s="153"/>
      <c r="V192" s="151"/>
      <c r="W192" s="153"/>
      <c r="X192" s="151"/>
      <c r="Y192" s="153"/>
      <c r="Z192" s="61">
        <f t="shared" si="30"/>
        <v>26305</v>
      </c>
      <c r="AA192" s="75">
        <f t="shared" si="30"/>
        <v>26334</v>
      </c>
      <c r="AB192" s="151">
        <v>50</v>
      </c>
      <c r="AC192" s="153"/>
      <c r="AD192" s="151">
        <v>7610</v>
      </c>
      <c r="AE192" s="153">
        <v>6600</v>
      </c>
      <c r="AF192" s="151">
        <v>3060</v>
      </c>
      <c r="AG192" s="153">
        <v>2000</v>
      </c>
      <c r="AH192" s="151"/>
      <c r="AI192" s="153"/>
      <c r="AJ192" s="151"/>
      <c r="AK192" s="153"/>
      <c r="AL192" s="151"/>
      <c r="AM192" s="153"/>
      <c r="AN192" s="151"/>
      <c r="AO192" s="153"/>
      <c r="AP192" s="61">
        <f t="shared" si="31"/>
        <v>37025</v>
      </c>
      <c r="AQ192" s="75">
        <f t="shared" si="31"/>
        <v>34934</v>
      </c>
      <c r="AR192" s="150" t="s">
        <v>74</v>
      </c>
      <c r="AS192" s="21">
        <f t="shared" si="23"/>
        <v>-2091</v>
      </c>
      <c r="AT192" s="21">
        <f t="shared" si="24"/>
        <v>95</v>
      </c>
      <c r="AU192" s="21">
        <f t="shared" si="25"/>
        <v>-2186</v>
      </c>
    </row>
    <row r="193" spans="1:47" ht="26.25" x14ac:dyDescent="0.25">
      <c r="A193" s="4" t="s">
        <v>201</v>
      </c>
      <c r="B193" s="11" t="s">
        <v>205</v>
      </c>
      <c r="C193" s="5" t="s">
        <v>156</v>
      </c>
      <c r="D193" s="151"/>
      <c r="E193" s="153"/>
      <c r="F193" s="151"/>
      <c r="G193" s="153"/>
      <c r="H193" s="151"/>
      <c r="I193" s="153"/>
      <c r="J193" s="151"/>
      <c r="K193" s="153"/>
      <c r="L193" s="151"/>
      <c r="M193" s="153"/>
      <c r="N193" s="151"/>
      <c r="O193" s="153"/>
      <c r="P193" s="151"/>
      <c r="Q193" s="153"/>
      <c r="R193" s="151"/>
      <c r="S193" s="153"/>
      <c r="T193" s="151"/>
      <c r="U193" s="153"/>
      <c r="V193" s="151"/>
      <c r="W193" s="153"/>
      <c r="X193" s="151"/>
      <c r="Y193" s="153"/>
      <c r="Z193" s="61">
        <f t="shared" si="30"/>
        <v>0</v>
      </c>
      <c r="AA193" s="75">
        <f t="shared" si="30"/>
        <v>0</v>
      </c>
      <c r="AB193" s="151"/>
      <c r="AC193" s="153"/>
      <c r="AD193" s="151">
        <v>1200</v>
      </c>
      <c r="AE193" s="153">
        <v>1200</v>
      </c>
      <c r="AF193" s="151"/>
      <c r="AG193" s="153"/>
      <c r="AH193" s="151"/>
      <c r="AI193" s="153"/>
      <c r="AJ193" s="151"/>
      <c r="AK193" s="153"/>
      <c r="AL193" s="151"/>
      <c r="AM193" s="153"/>
      <c r="AN193" s="151"/>
      <c r="AO193" s="153"/>
      <c r="AP193" s="61">
        <f t="shared" si="31"/>
        <v>1200</v>
      </c>
      <c r="AQ193" s="75">
        <f t="shared" si="31"/>
        <v>1200</v>
      </c>
      <c r="AR193" s="150" t="s">
        <v>58</v>
      </c>
      <c r="AS193" s="21">
        <f t="shared" si="23"/>
        <v>0</v>
      </c>
      <c r="AT193" s="21">
        <f t="shared" si="24"/>
        <v>0</v>
      </c>
      <c r="AU193" s="21">
        <f t="shared" si="25"/>
        <v>0</v>
      </c>
    </row>
    <row r="194" spans="1:47" ht="26.25" x14ac:dyDescent="0.25">
      <c r="A194" s="4" t="s">
        <v>201</v>
      </c>
      <c r="B194" s="4" t="s">
        <v>206</v>
      </c>
      <c r="C194" s="5" t="s">
        <v>82</v>
      </c>
      <c r="D194" s="151">
        <f>29047+712</f>
        <v>29759</v>
      </c>
      <c r="E194" s="153">
        <v>29879</v>
      </c>
      <c r="F194" s="151"/>
      <c r="G194" s="153"/>
      <c r="H194" s="151"/>
      <c r="I194" s="153"/>
      <c r="J194" s="151"/>
      <c r="K194" s="153"/>
      <c r="L194" s="151"/>
      <c r="M194" s="153"/>
      <c r="N194" s="151"/>
      <c r="O194" s="153"/>
      <c r="P194" s="151"/>
      <c r="Q194" s="153"/>
      <c r="R194" s="151"/>
      <c r="S194" s="153"/>
      <c r="T194" s="151"/>
      <c r="U194" s="153"/>
      <c r="V194" s="151"/>
      <c r="W194" s="153"/>
      <c r="X194" s="151"/>
      <c r="Y194" s="153"/>
      <c r="Z194" s="61">
        <f t="shared" si="30"/>
        <v>29759</v>
      </c>
      <c r="AA194" s="75">
        <f t="shared" si="30"/>
        <v>29879</v>
      </c>
      <c r="AB194" s="151"/>
      <c r="AC194" s="153"/>
      <c r="AD194" s="151"/>
      <c r="AE194" s="153"/>
      <c r="AF194" s="151"/>
      <c r="AG194" s="153"/>
      <c r="AH194" s="151"/>
      <c r="AI194" s="153"/>
      <c r="AJ194" s="151"/>
      <c r="AK194" s="153"/>
      <c r="AL194" s="151"/>
      <c r="AM194" s="153"/>
      <c r="AN194" s="151"/>
      <c r="AO194" s="153"/>
      <c r="AP194" s="61">
        <f t="shared" si="31"/>
        <v>29759</v>
      </c>
      <c r="AQ194" s="75">
        <f t="shared" si="31"/>
        <v>29879</v>
      </c>
      <c r="AR194" s="150" t="s">
        <v>128</v>
      </c>
      <c r="AS194" s="21">
        <f t="shared" si="23"/>
        <v>120</v>
      </c>
      <c r="AT194" s="21">
        <f t="shared" si="24"/>
        <v>120</v>
      </c>
      <c r="AU194" s="21">
        <f t="shared" si="25"/>
        <v>0</v>
      </c>
    </row>
    <row r="195" spans="1:47" x14ac:dyDescent="0.25">
      <c r="A195" s="4" t="s">
        <v>201</v>
      </c>
      <c r="B195" s="11" t="s">
        <v>181</v>
      </c>
      <c r="C195" s="5" t="s">
        <v>82</v>
      </c>
      <c r="D195" s="151">
        <v>30913</v>
      </c>
      <c r="E195" s="153">
        <v>44418</v>
      </c>
      <c r="F195" s="151">
        <v>500</v>
      </c>
      <c r="G195" s="153">
        <v>500</v>
      </c>
      <c r="H195" s="151">
        <v>12000</v>
      </c>
      <c r="I195" s="153">
        <v>10000</v>
      </c>
      <c r="J195" s="151">
        <v>340</v>
      </c>
      <c r="K195" s="153">
        <v>380</v>
      </c>
      <c r="L195" s="151">
        <v>4300</v>
      </c>
      <c r="M195" s="153">
        <v>4100</v>
      </c>
      <c r="N195" s="151">
        <v>350</v>
      </c>
      <c r="O195" s="153">
        <v>380</v>
      </c>
      <c r="P195" s="151"/>
      <c r="Q195" s="153"/>
      <c r="R195" s="151">
        <v>380</v>
      </c>
      <c r="S195" s="153">
        <v>380</v>
      </c>
      <c r="T195" s="151">
        <v>6936</v>
      </c>
      <c r="U195" s="153">
        <v>7371</v>
      </c>
      <c r="V195" s="151"/>
      <c r="W195" s="153"/>
      <c r="X195" s="151"/>
      <c r="Y195" s="153"/>
      <c r="Z195" s="61">
        <f t="shared" si="30"/>
        <v>55719</v>
      </c>
      <c r="AA195" s="75">
        <f t="shared" si="30"/>
        <v>67529</v>
      </c>
      <c r="AB195" s="151"/>
      <c r="AC195" s="153"/>
      <c r="AD195" s="151">
        <v>1760</v>
      </c>
      <c r="AE195" s="153">
        <v>1470</v>
      </c>
      <c r="AF195" s="151">
        <v>6767</v>
      </c>
      <c r="AG195" s="153">
        <v>6500</v>
      </c>
      <c r="AH195" s="151"/>
      <c r="AI195" s="153"/>
      <c r="AJ195" s="151"/>
      <c r="AK195" s="153"/>
      <c r="AL195" s="151"/>
      <c r="AM195" s="153"/>
      <c r="AN195" s="151"/>
      <c r="AO195" s="153"/>
      <c r="AP195" s="61">
        <f t="shared" si="31"/>
        <v>64246</v>
      </c>
      <c r="AQ195" s="75">
        <f t="shared" si="31"/>
        <v>75499</v>
      </c>
      <c r="AR195" s="150" t="s">
        <v>128</v>
      </c>
      <c r="AS195" s="21">
        <f t="shared" si="23"/>
        <v>11253</v>
      </c>
      <c r="AT195" s="21">
        <f t="shared" si="24"/>
        <v>13505</v>
      </c>
      <c r="AU195" s="21">
        <f t="shared" si="25"/>
        <v>-2252</v>
      </c>
    </row>
    <row r="196" spans="1:47" x14ac:dyDescent="0.25">
      <c r="A196" s="4" t="s">
        <v>201</v>
      </c>
      <c r="B196" s="11" t="s">
        <v>85</v>
      </c>
      <c r="C196" s="5" t="s">
        <v>86</v>
      </c>
      <c r="D196" s="151">
        <v>7728</v>
      </c>
      <c r="E196" s="153">
        <v>8557</v>
      </c>
      <c r="F196" s="151">
        <v>430</v>
      </c>
      <c r="G196" s="153">
        <v>470</v>
      </c>
      <c r="H196" s="151">
        <v>11100</v>
      </c>
      <c r="I196" s="153">
        <v>10000</v>
      </c>
      <c r="J196" s="151">
        <v>700</v>
      </c>
      <c r="K196" s="153">
        <v>700</v>
      </c>
      <c r="L196" s="151">
        <v>3000</v>
      </c>
      <c r="M196" s="153">
        <v>3000</v>
      </c>
      <c r="N196" s="151">
        <v>400</v>
      </c>
      <c r="O196" s="153">
        <v>450</v>
      </c>
      <c r="P196" s="151"/>
      <c r="Q196" s="153"/>
      <c r="R196" s="151">
        <v>600</v>
      </c>
      <c r="S196" s="153">
        <v>600</v>
      </c>
      <c r="T196" s="151">
        <v>2393</v>
      </c>
      <c r="U196" s="153">
        <v>2760</v>
      </c>
      <c r="V196" s="151"/>
      <c r="W196" s="153"/>
      <c r="X196" s="151"/>
      <c r="Y196" s="153"/>
      <c r="Z196" s="61">
        <f t="shared" si="30"/>
        <v>26351</v>
      </c>
      <c r="AA196" s="75">
        <f t="shared" si="30"/>
        <v>26537</v>
      </c>
      <c r="AB196" s="151"/>
      <c r="AC196" s="153"/>
      <c r="AD196" s="151">
        <v>4790</v>
      </c>
      <c r="AE196" s="153">
        <v>3890</v>
      </c>
      <c r="AF196" s="151">
        <v>10005</v>
      </c>
      <c r="AG196" s="153">
        <v>8800</v>
      </c>
      <c r="AH196" s="151"/>
      <c r="AI196" s="153"/>
      <c r="AJ196" s="151"/>
      <c r="AK196" s="153"/>
      <c r="AL196" s="151"/>
      <c r="AM196" s="153"/>
      <c r="AN196" s="151"/>
      <c r="AO196" s="153"/>
      <c r="AP196" s="61">
        <f t="shared" si="31"/>
        <v>41146</v>
      </c>
      <c r="AQ196" s="75">
        <f t="shared" si="31"/>
        <v>39227</v>
      </c>
      <c r="AR196" s="150" t="s">
        <v>128</v>
      </c>
      <c r="AS196" s="21">
        <f t="shared" si="23"/>
        <v>-1919</v>
      </c>
      <c r="AT196" s="21">
        <f t="shared" si="24"/>
        <v>829</v>
      </c>
      <c r="AU196" s="21">
        <f t="shared" si="25"/>
        <v>-2748</v>
      </c>
    </row>
    <row r="197" spans="1:47" ht="26.25" x14ac:dyDescent="0.25">
      <c r="A197" s="4" t="s">
        <v>201</v>
      </c>
      <c r="B197" s="11" t="s">
        <v>207</v>
      </c>
      <c r="C197" s="13" t="s">
        <v>86</v>
      </c>
      <c r="D197" s="151"/>
      <c r="E197" s="153"/>
      <c r="F197" s="151"/>
      <c r="G197" s="153"/>
      <c r="H197" s="151"/>
      <c r="I197" s="153"/>
      <c r="J197" s="151"/>
      <c r="K197" s="153"/>
      <c r="L197" s="151"/>
      <c r="M197" s="153"/>
      <c r="N197" s="151"/>
      <c r="O197" s="153"/>
      <c r="P197" s="151"/>
      <c r="Q197" s="153"/>
      <c r="R197" s="151"/>
      <c r="S197" s="153"/>
      <c r="T197" s="151">
        <v>1000</v>
      </c>
      <c r="U197" s="153">
        <v>600</v>
      </c>
      <c r="V197" s="151"/>
      <c r="W197" s="153"/>
      <c r="X197" s="151"/>
      <c r="Y197" s="153"/>
      <c r="Z197" s="61">
        <f t="shared" si="30"/>
        <v>1000</v>
      </c>
      <c r="AA197" s="75">
        <f t="shared" si="30"/>
        <v>600</v>
      </c>
      <c r="AB197" s="151"/>
      <c r="AC197" s="153"/>
      <c r="AD197" s="151"/>
      <c r="AE197" s="153"/>
      <c r="AF197" s="151"/>
      <c r="AG197" s="153"/>
      <c r="AH197" s="151"/>
      <c r="AI197" s="153"/>
      <c r="AJ197" s="151"/>
      <c r="AK197" s="153"/>
      <c r="AL197" s="151"/>
      <c r="AM197" s="153"/>
      <c r="AN197" s="151"/>
      <c r="AO197" s="153"/>
      <c r="AP197" s="61">
        <f t="shared" si="31"/>
        <v>1000</v>
      </c>
      <c r="AQ197" s="75">
        <f t="shared" si="31"/>
        <v>600</v>
      </c>
      <c r="AR197" s="150" t="s">
        <v>128</v>
      </c>
      <c r="AS197" s="21">
        <f t="shared" si="23"/>
        <v>-400</v>
      </c>
      <c r="AT197" s="21">
        <f t="shared" si="24"/>
        <v>0</v>
      </c>
      <c r="AU197" s="21">
        <f t="shared" si="25"/>
        <v>-400</v>
      </c>
    </row>
    <row r="198" spans="1:47" ht="26.25" x14ac:dyDescent="0.25">
      <c r="A198" s="4" t="s">
        <v>201</v>
      </c>
      <c r="B198" s="4" t="s">
        <v>88</v>
      </c>
      <c r="C198" s="5" t="s">
        <v>86</v>
      </c>
      <c r="D198" s="151"/>
      <c r="E198" s="153"/>
      <c r="F198" s="151"/>
      <c r="G198" s="153"/>
      <c r="H198" s="151"/>
      <c r="I198" s="153"/>
      <c r="J198" s="151"/>
      <c r="K198" s="153"/>
      <c r="L198" s="151"/>
      <c r="M198" s="153"/>
      <c r="N198" s="151"/>
      <c r="O198" s="153"/>
      <c r="P198" s="151"/>
      <c r="Q198" s="153"/>
      <c r="R198" s="151"/>
      <c r="S198" s="153"/>
      <c r="T198" s="151">
        <v>1431</v>
      </c>
      <c r="U198" s="153">
        <v>1295</v>
      </c>
      <c r="V198" s="151"/>
      <c r="W198" s="153"/>
      <c r="X198" s="151"/>
      <c r="Y198" s="153"/>
      <c r="Z198" s="61">
        <f t="shared" si="30"/>
        <v>1431</v>
      </c>
      <c r="AA198" s="75">
        <f t="shared" si="30"/>
        <v>1295</v>
      </c>
      <c r="AB198" s="151"/>
      <c r="AC198" s="153"/>
      <c r="AD198" s="151"/>
      <c r="AE198" s="153"/>
      <c r="AF198" s="151"/>
      <c r="AG198" s="153"/>
      <c r="AH198" s="151"/>
      <c r="AI198" s="153"/>
      <c r="AJ198" s="151"/>
      <c r="AK198" s="153"/>
      <c r="AL198" s="151"/>
      <c r="AM198" s="153"/>
      <c r="AN198" s="151"/>
      <c r="AO198" s="153"/>
      <c r="AP198" s="61">
        <f t="shared" si="31"/>
        <v>1431</v>
      </c>
      <c r="AQ198" s="75">
        <f t="shared" si="31"/>
        <v>1295</v>
      </c>
      <c r="AR198" s="150" t="s">
        <v>128</v>
      </c>
      <c r="AS198" s="21">
        <f t="shared" si="23"/>
        <v>-136</v>
      </c>
      <c r="AT198" s="21">
        <f t="shared" si="24"/>
        <v>0</v>
      </c>
      <c r="AU198" s="21">
        <f t="shared" si="25"/>
        <v>-136</v>
      </c>
    </row>
    <row r="199" spans="1:47" ht="26.25" x14ac:dyDescent="0.25">
      <c r="A199" s="4" t="s">
        <v>201</v>
      </c>
      <c r="B199" s="4" t="s">
        <v>87</v>
      </c>
      <c r="C199" s="5" t="s">
        <v>86</v>
      </c>
      <c r="D199" s="151">
        <f>15030+112</f>
        <v>15142</v>
      </c>
      <c r="E199" s="153">
        <v>20219</v>
      </c>
      <c r="F199" s="151"/>
      <c r="G199" s="153"/>
      <c r="H199" s="151"/>
      <c r="I199" s="153"/>
      <c r="J199" s="151"/>
      <c r="K199" s="153"/>
      <c r="L199" s="151"/>
      <c r="M199" s="153"/>
      <c r="N199" s="151"/>
      <c r="O199" s="153"/>
      <c r="P199" s="151"/>
      <c r="Q199" s="153"/>
      <c r="R199" s="151"/>
      <c r="S199" s="153"/>
      <c r="T199" s="151"/>
      <c r="U199" s="153"/>
      <c r="V199" s="151"/>
      <c r="W199" s="153"/>
      <c r="X199" s="151"/>
      <c r="Y199" s="153"/>
      <c r="Z199" s="61">
        <f t="shared" si="30"/>
        <v>15142</v>
      </c>
      <c r="AA199" s="75">
        <f t="shared" si="30"/>
        <v>20219</v>
      </c>
      <c r="AB199" s="151"/>
      <c r="AC199" s="153"/>
      <c r="AD199" s="151"/>
      <c r="AE199" s="153"/>
      <c r="AF199" s="151"/>
      <c r="AG199" s="153"/>
      <c r="AH199" s="151"/>
      <c r="AI199" s="153"/>
      <c r="AJ199" s="151"/>
      <c r="AK199" s="153"/>
      <c r="AL199" s="151"/>
      <c r="AM199" s="153"/>
      <c r="AN199" s="151"/>
      <c r="AO199" s="153"/>
      <c r="AP199" s="61">
        <f t="shared" si="31"/>
        <v>15142</v>
      </c>
      <c r="AQ199" s="75">
        <f t="shared" si="31"/>
        <v>20219</v>
      </c>
      <c r="AR199" s="150" t="s">
        <v>128</v>
      </c>
      <c r="AS199" s="21">
        <f t="shared" si="23"/>
        <v>5077</v>
      </c>
      <c r="AT199" s="21">
        <f t="shared" si="24"/>
        <v>5077</v>
      </c>
      <c r="AU199" s="21">
        <f t="shared" si="25"/>
        <v>0</v>
      </c>
    </row>
    <row r="200" spans="1:47" x14ac:dyDescent="0.25">
      <c r="A200" s="4" t="s">
        <v>201</v>
      </c>
      <c r="B200" s="11" t="s">
        <v>90</v>
      </c>
      <c r="C200" s="5" t="s">
        <v>86</v>
      </c>
      <c r="D200" s="151"/>
      <c r="E200" s="153"/>
      <c r="F200" s="151"/>
      <c r="G200" s="153"/>
      <c r="H200" s="151"/>
      <c r="I200" s="153"/>
      <c r="J200" s="151"/>
      <c r="K200" s="153"/>
      <c r="L200" s="151"/>
      <c r="M200" s="153"/>
      <c r="N200" s="151"/>
      <c r="O200" s="153"/>
      <c r="P200" s="151"/>
      <c r="Q200" s="153"/>
      <c r="R200" s="151"/>
      <c r="S200" s="153"/>
      <c r="T200" s="151">
        <v>2100</v>
      </c>
      <c r="U200" s="153">
        <v>2600</v>
      </c>
      <c r="V200" s="151"/>
      <c r="W200" s="153"/>
      <c r="X200" s="151"/>
      <c r="Y200" s="153"/>
      <c r="Z200" s="61">
        <f t="shared" si="30"/>
        <v>2100</v>
      </c>
      <c r="AA200" s="75">
        <f t="shared" si="30"/>
        <v>2600</v>
      </c>
      <c r="AB200" s="151"/>
      <c r="AC200" s="153"/>
      <c r="AD200" s="151"/>
      <c r="AE200" s="153"/>
      <c r="AF200" s="151"/>
      <c r="AG200" s="153"/>
      <c r="AH200" s="151"/>
      <c r="AI200" s="153"/>
      <c r="AJ200" s="151"/>
      <c r="AK200" s="153"/>
      <c r="AL200" s="151"/>
      <c r="AM200" s="153"/>
      <c r="AN200" s="151"/>
      <c r="AO200" s="153"/>
      <c r="AP200" s="61">
        <f t="shared" si="31"/>
        <v>2100</v>
      </c>
      <c r="AQ200" s="75">
        <f t="shared" si="31"/>
        <v>2600</v>
      </c>
      <c r="AR200" s="150" t="s">
        <v>128</v>
      </c>
      <c r="AS200" s="21">
        <f t="shared" si="23"/>
        <v>500</v>
      </c>
      <c r="AT200" s="21">
        <f t="shared" si="24"/>
        <v>0</v>
      </c>
      <c r="AU200" s="21">
        <f t="shared" si="25"/>
        <v>500</v>
      </c>
    </row>
    <row r="201" spans="1:47" ht="26.25" x14ac:dyDescent="0.25">
      <c r="A201" s="4" t="s">
        <v>201</v>
      </c>
      <c r="B201" s="11" t="s">
        <v>208</v>
      </c>
      <c r="C201" s="5" t="s">
        <v>96</v>
      </c>
      <c r="D201" s="151"/>
      <c r="E201" s="153"/>
      <c r="F201" s="151"/>
      <c r="G201" s="153"/>
      <c r="H201" s="151"/>
      <c r="I201" s="153"/>
      <c r="J201" s="151"/>
      <c r="K201" s="153"/>
      <c r="L201" s="151"/>
      <c r="M201" s="153"/>
      <c r="N201" s="151"/>
      <c r="O201" s="153"/>
      <c r="P201" s="151"/>
      <c r="Q201" s="153"/>
      <c r="R201" s="151">
        <v>4020</v>
      </c>
      <c r="S201" s="153">
        <v>4000</v>
      </c>
      <c r="T201" s="151"/>
      <c r="U201" s="153"/>
      <c r="V201" s="151">
        <v>15103</v>
      </c>
      <c r="W201" s="153">
        <v>15600</v>
      </c>
      <c r="X201" s="151"/>
      <c r="Y201" s="153"/>
      <c r="Z201" s="61">
        <f t="shared" si="30"/>
        <v>19123</v>
      </c>
      <c r="AA201" s="75">
        <f t="shared" si="30"/>
        <v>19600</v>
      </c>
      <c r="AB201" s="151"/>
      <c r="AC201" s="153"/>
      <c r="AD201" s="151"/>
      <c r="AE201" s="153"/>
      <c r="AF201" s="151"/>
      <c r="AG201" s="153"/>
      <c r="AH201" s="151"/>
      <c r="AI201" s="153"/>
      <c r="AJ201" s="151"/>
      <c r="AK201" s="153"/>
      <c r="AL201" s="151"/>
      <c r="AM201" s="153"/>
      <c r="AN201" s="151"/>
      <c r="AO201" s="153"/>
      <c r="AP201" s="61">
        <f t="shared" si="31"/>
        <v>19123</v>
      </c>
      <c r="AQ201" s="75">
        <f t="shared" si="31"/>
        <v>19600</v>
      </c>
      <c r="AR201" s="150" t="s">
        <v>128</v>
      </c>
      <c r="AS201" s="21">
        <f t="shared" ref="AS201:AS264" si="32">$AQ201-$AP201</f>
        <v>477</v>
      </c>
      <c r="AT201" s="21">
        <f t="shared" ref="AT201:AT264" si="33">$E201-$D201</f>
        <v>0</v>
      </c>
      <c r="AU201" s="21">
        <f t="shared" ref="AU201:AU264" si="34">AQ201-E201-AP201+D201</f>
        <v>477</v>
      </c>
    </row>
    <row r="202" spans="1:47" ht="39" x14ac:dyDescent="0.25">
      <c r="A202" s="4" t="s">
        <v>201</v>
      </c>
      <c r="B202" s="11" t="s">
        <v>209</v>
      </c>
      <c r="C202" s="5" t="s">
        <v>96</v>
      </c>
      <c r="D202" s="151"/>
      <c r="E202" s="153"/>
      <c r="F202" s="151"/>
      <c r="G202" s="153"/>
      <c r="H202" s="151"/>
      <c r="I202" s="153"/>
      <c r="J202" s="151"/>
      <c r="K202" s="153"/>
      <c r="L202" s="151"/>
      <c r="M202" s="153"/>
      <c r="N202" s="151"/>
      <c r="O202" s="153"/>
      <c r="P202" s="151"/>
      <c r="Q202" s="153"/>
      <c r="R202" s="151"/>
      <c r="S202" s="153"/>
      <c r="T202" s="151"/>
      <c r="U202" s="153"/>
      <c r="V202" s="151">
        <v>2700</v>
      </c>
      <c r="W202" s="153">
        <v>2500</v>
      </c>
      <c r="X202" s="151"/>
      <c r="Y202" s="153"/>
      <c r="Z202" s="61">
        <f t="shared" si="30"/>
        <v>2700</v>
      </c>
      <c r="AA202" s="75">
        <f t="shared" si="30"/>
        <v>2500</v>
      </c>
      <c r="AB202" s="151"/>
      <c r="AC202" s="153"/>
      <c r="AD202" s="151"/>
      <c r="AE202" s="153"/>
      <c r="AF202" s="151"/>
      <c r="AG202" s="153"/>
      <c r="AH202" s="151"/>
      <c r="AI202" s="153"/>
      <c r="AJ202" s="151"/>
      <c r="AK202" s="153"/>
      <c r="AL202" s="151"/>
      <c r="AM202" s="153"/>
      <c r="AN202" s="151"/>
      <c r="AO202" s="153"/>
      <c r="AP202" s="61">
        <f t="shared" si="31"/>
        <v>2700</v>
      </c>
      <c r="AQ202" s="75">
        <f t="shared" si="31"/>
        <v>2500</v>
      </c>
      <c r="AR202" s="150" t="s">
        <v>80</v>
      </c>
      <c r="AS202" s="21">
        <f t="shared" si="32"/>
        <v>-200</v>
      </c>
      <c r="AT202" s="21">
        <f t="shared" si="33"/>
        <v>0</v>
      </c>
      <c r="AU202" s="21">
        <f t="shared" si="34"/>
        <v>-200</v>
      </c>
    </row>
    <row r="203" spans="1:47" x14ac:dyDescent="0.25">
      <c r="A203" s="4" t="s">
        <v>201</v>
      </c>
      <c r="B203" s="11" t="s">
        <v>116</v>
      </c>
      <c r="C203" s="6" t="s">
        <v>96</v>
      </c>
      <c r="D203" s="151">
        <v>31315</v>
      </c>
      <c r="E203" s="153">
        <v>33918</v>
      </c>
      <c r="F203" s="151">
        <v>35</v>
      </c>
      <c r="G203" s="153">
        <v>35</v>
      </c>
      <c r="H203" s="151">
        <v>3000</v>
      </c>
      <c r="I203" s="153">
        <v>3000</v>
      </c>
      <c r="J203" s="151">
        <v>1320</v>
      </c>
      <c r="K203" s="153">
        <v>1320</v>
      </c>
      <c r="L203" s="151">
        <v>3500</v>
      </c>
      <c r="M203" s="153">
        <v>3500</v>
      </c>
      <c r="N203" s="151">
        <v>400</v>
      </c>
      <c r="O203" s="153">
        <v>480</v>
      </c>
      <c r="P203" s="151"/>
      <c r="Q203" s="153"/>
      <c r="R203" s="151"/>
      <c r="S203" s="153"/>
      <c r="T203" s="151"/>
      <c r="U203" s="153"/>
      <c r="V203" s="151"/>
      <c r="W203" s="153"/>
      <c r="X203" s="151"/>
      <c r="Y203" s="153"/>
      <c r="Z203" s="61">
        <f t="shared" si="30"/>
        <v>39570</v>
      </c>
      <c r="AA203" s="75">
        <f t="shared" si="30"/>
        <v>42253</v>
      </c>
      <c r="AB203" s="151"/>
      <c r="AC203" s="153"/>
      <c r="AD203" s="151">
        <v>485</v>
      </c>
      <c r="AE203" s="153">
        <v>400</v>
      </c>
      <c r="AF203" s="151">
        <v>1050</v>
      </c>
      <c r="AG203" s="153">
        <v>1000</v>
      </c>
      <c r="AH203" s="151"/>
      <c r="AI203" s="153"/>
      <c r="AJ203" s="151"/>
      <c r="AK203" s="153"/>
      <c r="AL203" s="151"/>
      <c r="AM203" s="153"/>
      <c r="AN203" s="151"/>
      <c r="AO203" s="153"/>
      <c r="AP203" s="61">
        <f t="shared" si="31"/>
        <v>41105</v>
      </c>
      <c r="AQ203" s="75">
        <f t="shared" si="31"/>
        <v>43653</v>
      </c>
      <c r="AR203" s="150" t="s">
        <v>61</v>
      </c>
      <c r="AS203" s="21">
        <f t="shared" si="32"/>
        <v>2548</v>
      </c>
      <c r="AT203" s="21">
        <f t="shared" si="33"/>
        <v>2603</v>
      </c>
      <c r="AU203" s="21">
        <f t="shared" si="34"/>
        <v>-55</v>
      </c>
    </row>
    <row r="204" spans="1:47" x14ac:dyDescent="0.25">
      <c r="A204" s="11" t="s">
        <v>201</v>
      </c>
      <c r="B204" s="11" t="s">
        <v>113</v>
      </c>
      <c r="C204" s="14" t="s">
        <v>79</v>
      </c>
      <c r="D204" s="151">
        <v>6209</v>
      </c>
      <c r="E204" s="153">
        <v>6466</v>
      </c>
      <c r="F204" s="151"/>
      <c r="G204" s="153"/>
      <c r="H204" s="151">
        <v>1000</v>
      </c>
      <c r="I204" s="153"/>
      <c r="J204" s="151"/>
      <c r="K204" s="153"/>
      <c r="L204" s="151">
        <v>150</v>
      </c>
      <c r="M204" s="153"/>
      <c r="N204" s="151"/>
      <c r="O204" s="153"/>
      <c r="P204" s="151"/>
      <c r="Q204" s="153"/>
      <c r="R204" s="151">
        <v>100</v>
      </c>
      <c r="S204" s="153"/>
      <c r="T204" s="151"/>
      <c r="U204" s="153"/>
      <c r="V204" s="151"/>
      <c r="W204" s="153"/>
      <c r="X204" s="151"/>
      <c r="Y204" s="153"/>
      <c r="Z204" s="61">
        <f t="shared" si="30"/>
        <v>7459</v>
      </c>
      <c r="AA204" s="75">
        <f t="shared" si="30"/>
        <v>6466</v>
      </c>
      <c r="AB204" s="151"/>
      <c r="AC204" s="153"/>
      <c r="AD204" s="151">
        <v>320</v>
      </c>
      <c r="AE204" s="153">
        <v>300</v>
      </c>
      <c r="AF204" s="151">
        <v>450</v>
      </c>
      <c r="AG204" s="153">
        <v>250</v>
      </c>
      <c r="AH204" s="151"/>
      <c r="AI204" s="153"/>
      <c r="AJ204" s="151"/>
      <c r="AK204" s="153"/>
      <c r="AL204" s="151"/>
      <c r="AM204" s="153"/>
      <c r="AN204" s="151"/>
      <c r="AO204" s="153"/>
      <c r="AP204" s="61">
        <f t="shared" si="31"/>
        <v>8229</v>
      </c>
      <c r="AQ204" s="75">
        <f t="shared" si="31"/>
        <v>7016</v>
      </c>
      <c r="AR204" s="150" t="s">
        <v>80</v>
      </c>
      <c r="AS204" s="21">
        <f t="shared" si="32"/>
        <v>-1213</v>
      </c>
      <c r="AT204" s="21">
        <f t="shared" si="33"/>
        <v>257</v>
      </c>
      <c r="AU204" s="21">
        <f t="shared" si="34"/>
        <v>-1470</v>
      </c>
    </row>
    <row r="205" spans="1:47" x14ac:dyDescent="0.25">
      <c r="A205" s="4" t="s">
        <v>201</v>
      </c>
      <c r="B205" s="11" t="s">
        <v>69</v>
      </c>
      <c r="C205" s="5" t="s">
        <v>70</v>
      </c>
      <c r="D205" s="151">
        <v>1698</v>
      </c>
      <c r="E205" s="153">
        <v>1780</v>
      </c>
      <c r="F205" s="151"/>
      <c r="G205" s="153"/>
      <c r="H205" s="151"/>
      <c r="I205" s="153"/>
      <c r="J205" s="151"/>
      <c r="K205" s="153"/>
      <c r="L205" s="151"/>
      <c r="M205" s="153"/>
      <c r="N205" s="151"/>
      <c r="O205" s="153"/>
      <c r="P205" s="151"/>
      <c r="Q205" s="153"/>
      <c r="R205" s="151">
        <v>200</v>
      </c>
      <c r="S205" s="153">
        <v>200</v>
      </c>
      <c r="T205" s="151"/>
      <c r="U205" s="153"/>
      <c r="V205" s="151"/>
      <c r="W205" s="153"/>
      <c r="X205" s="151"/>
      <c r="Y205" s="153"/>
      <c r="Z205" s="61">
        <f t="shared" si="30"/>
        <v>1898</v>
      </c>
      <c r="AA205" s="75">
        <f t="shared" si="30"/>
        <v>1980</v>
      </c>
      <c r="AB205" s="151"/>
      <c r="AC205" s="153"/>
      <c r="AD205" s="151">
        <v>300</v>
      </c>
      <c r="AE205" s="153">
        <v>250</v>
      </c>
      <c r="AF205" s="151">
        <v>1200</v>
      </c>
      <c r="AG205" s="153">
        <v>1000</v>
      </c>
      <c r="AH205" s="151"/>
      <c r="AI205" s="153"/>
      <c r="AJ205" s="151"/>
      <c r="AK205" s="153"/>
      <c r="AL205" s="151"/>
      <c r="AM205" s="153"/>
      <c r="AN205" s="151"/>
      <c r="AO205" s="153"/>
      <c r="AP205" s="61">
        <f t="shared" si="31"/>
        <v>3398</v>
      </c>
      <c r="AQ205" s="75">
        <f t="shared" si="31"/>
        <v>3230</v>
      </c>
      <c r="AR205" s="150" t="s">
        <v>71</v>
      </c>
      <c r="AS205" s="21">
        <f t="shared" si="32"/>
        <v>-168</v>
      </c>
      <c r="AT205" s="21">
        <f t="shared" si="33"/>
        <v>82</v>
      </c>
      <c r="AU205" s="21">
        <f t="shared" si="34"/>
        <v>-250</v>
      </c>
    </row>
    <row r="206" spans="1:47" ht="30" x14ac:dyDescent="0.25">
      <c r="A206" s="4" t="s">
        <v>201</v>
      </c>
      <c r="B206" s="11" t="s">
        <v>210</v>
      </c>
      <c r="C206" s="5" t="s">
        <v>104</v>
      </c>
      <c r="D206" s="151"/>
      <c r="E206" s="153"/>
      <c r="F206" s="151"/>
      <c r="G206" s="153"/>
      <c r="H206" s="151">
        <v>1000</v>
      </c>
      <c r="I206" s="153">
        <v>1500</v>
      </c>
      <c r="J206" s="151">
        <v>120</v>
      </c>
      <c r="K206" s="153">
        <v>350</v>
      </c>
      <c r="L206" s="151">
        <v>80</v>
      </c>
      <c r="M206" s="153">
        <v>1400</v>
      </c>
      <c r="N206" s="151"/>
      <c r="O206" s="153"/>
      <c r="P206" s="151"/>
      <c r="Q206" s="153"/>
      <c r="R206" s="151">
        <v>900</v>
      </c>
      <c r="S206" s="153">
        <v>900</v>
      </c>
      <c r="T206" s="151"/>
      <c r="U206" s="153"/>
      <c r="V206" s="151"/>
      <c r="W206" s="153"/>
      <c r="X206" s="151"/>
      <c r="Y206" s="153"/>
      <c r="Z206" s="61">
        <f t="shared" si="30"/>
        <v>2100</v>
      </c>
      <c r="AA206" s="75">
        <f t="shared" si="30"/>
        <v>4150</v>
      </c>
      <c r="AB206" s="151">
        <v>40</v>
      </c>
      <c r="AC206" s="153"/>
      <c r="AD206" s="151">
        <v>700</v>
      </c>
      <c r="AE206" s="153">
        <v>650</v>
      </c>
      <c r="AF206" s="151">
        <v>710</v>
      </c>
      <c r="AG206" s="153">
        <v>700</v>
      </c>
      <c r="AH206" s="151"/>
      <c r="AI206" s="153"/>
      <c r="AJ206" s="151"/>
      <c r="AK206" s="153"/>
      <c r="AL206" s="151"/>
      <c r="AM206" s="153"/>
      <c r="AN206" s="151"/>
      <c r="AO206" s="153"/>
      <c r="AP206" s="61">
        <f t="shared" si="31"/>
        <v>3550</v>
      </c>
      <c r="AQ206" s="75">
        <f t="shared" si="31"/>
        <v>5500</v>
      </c>
      <c r="AR206" s="150" t="s">
        <v>102</v>
      </c>
      <c r="AS206" s="21">
        <f t="shared" si="32"/>
        <v>1950</v>
      </c>
      <c r="AT206" s="21">
        <f t="shared" si="33"/>
        <v>0</v>
      </c>
      <c r="AU206" s="21">
        <f t="shared" si="34"/>
        <v>1950</v>
      </c>
    </row>
    <row r="207" spans="1:47" ht="30" x14ac:dyDescent="0.25">
      <c r="A207" s="4" t="s">
        <v>201</v>
      </c>
      <c r="B207" s="4" t="s">
        <v>100</v>
      </c>
      <c r="C207" s="5" t="s">
        <v>101</v>
      </c>
      <c r="D207" s="151"/>
      <c r="E207" s="153"/>
      <c r="F207" s="151"/>
      <c r="G207" s="153"/>
      <c r="H207" s="151"/>
      <c r="I207" s="153"/>
      <c r="J207" s="151"/>
      <c r="K207" s="153"/>
      <c r="L207" s="151"/>
      <c r="M207" s="153"/>
      <c r="N207" s="151"/>
      <c r="O207" s="153"/>
      <c r="P207" s="151"/>
      <c r="Q207" s="153"/>
      <c r="R207" s="151"/>
      <c r="S207" s="153"/>
      <c r="T207" s="151"/>
      <c r="U207" s="153"/>
      <c r="V207" s="151"/>
      <c r="W207" s="153"/>
      <c r="X207" s="151"/>
      <c r="Y207" s="153"/>
      <c r="Z207" s="61">
        <f t="shared" si="30"/>
        <v>0</v>
      </c>
      <c r="AA207" s="75">
        <f t="shared" si="30"/>
        <v>0</v>
      </c>
      <c r="AB207" s="151"/>
      <c r="AC207" s="153"/>
      <c r="AD207" s="151"/>
      <c r="AE207" s="153"/>
      <c r="AF207" s="151"/>
      <c r="AG207" s="153"/>
      <c r="AH207" s="151"/>
      <c r="AI207" s="153"/>
      <c r="AJ207" s="151"/>
      <c r="AK207" s="153"/>
      <c r="AL207" s="151">
        <v>12368</v>
      </c>
      <c r="AM207" s="153">
        <v>12368</v>
      </c>
      <c r="AN207" s="151"/>
      <c r="AO207" s="153"/>
      <c r="AP207" s="61">
        <f t="shared" si="31"/>
        <v>12368</v>
      </c>
      <c r="AQ207" s="75">
        <f t="shared" si="31"/>
        <v>12368</v>
      </c>
      <c r="AR207" s="150" t="s">
        <v>102</v>
      </c>
      <c r="AS207" s="21">
        <f t="shared" si="32"/>
        <v>0</v>
      </c>
      <c r="AT207" s="21">
        <f t="shared" si="33"/>
        <v>0</v>
      </c>
      <c r="AU207" s="21">
        <f t="shared" si="34"/>
        <v>0</v>
      </c>
    </row>
    <row r="208" spans="1:47" x14ac:dyDescent="0.25">
      <c r="A208" s="4" t="s">
        <v>201</v>
      </c>
      <c r="B208" s="4" t="s">
        <v>105</v>
      </c>
      <c r="C208" s="5"/>
      <c r="D208" s="151">
        <v>8868</v>
      </c>
      <c r="E208" s="153">
        <v>9865</v>
      </c>
      <c r="F208" s="151"/>
      <c r="G208" s="153"/>
      <c r="H208" s="151"/>
      <c r="I208" s="153"/>
      <c r="J208" s="151"/>
      <c r="K208" s="153"/>
      <c r="L208" s="151"/>
      <c r="M208" s="153"/>
      <c r="N208" s="151"/>
      <c r="O208" s="153"/>
      <c r="P208" s="151"/>
      <c r="Q208" s="153"/>
      <c r="R208" s="151"/>
      <c r="S208" s="153"/>
      <c r="T208" s="151"/>
      <c r="U208" s="153"/>
      <c r="V208" s="151"/>
      <c r="W208" s="153"/>
      <c r="X208" s="151"/>
      <c r="Y208" s="153"/>
      <c r="Z208" s="61">
        <f t="shared" si="30"/>
        <v>8868</v>
      </c>
      <c r="AA208" s="75">
        <f t="shared" si="30"/>
        <v>9865</v>
      </c>
      <c r="AB208" s="151"/>
      <c r="AC208" s="153"/>
      <c r="AD208" s="151"/>
      <c r="AE208" s="153"/>
      <c r="AF208" s="151"/>
      <c r="AG208" s="153"/>
      <c r="AH208" s="151"/>
      <c r="AI208" s="153"/>
      <c r="AJ208" s="151"/>
      <c r="AK208" s="153"/>
      <c r="AL208" s="151"/>
      <c r="AM208" s="153"/>
      <c r="AN208" s="151"/>
      <c r="AO208" s="153"/>
      <c r="AP208" s="61">
        <f t="shared" si="31"/>
        <v>8868</v>
      </c>
      <c r="AQ208" s="75">
        <f t="shared" si="31"/>
        <v>9865</v>
      </c>
      <c r="AR208" s="150" t="s">
        <v>58</v>
      </c>
      <c r="AS208" s="21">
        <f t="shared" si="32"/>
        <v>997</v>
      </c>
      <c r="AT208" s="21">
        <f t="shared" si="33"/>
        <v>997</v>
      </c>
      <c r="AU208" s="21">
        <f t="shared" si="34"/>
        <v>0</v>
      </c>
    </row>
    <row r="209" spans="1:47" x14ac:dyDescent="0.25">
      <c r="A209" s="4" t="s">
        <v>201</v>
      </c>
      <c r="B209" s="4" t="s">
        <v>106</v>
      </c>
      <c r="C209" s="5"/>
      <c r="D209" s="151">
        <v>7876</v>
      </c>
      <c r="E209" s="153">
        <v>8811</v>
      </c>
      <c r="F209" s="151"/>
      <c r="G209" s="153"/>
      <c r="H209" s="151"/>
      <c r="I209" s="153"/>
      <c r="J209" s="151"/>
      <c r="K209" s="153"/>
      <c r="L209" s="151"/>
      <c r="M209" s="153"/>
      <c r="N209" s="151"/>
      <c r="O209" s="153"/>
      <c r="P209" s="151"/>
      <c r="Q209" s="153"/>
      <c r="R209" s="151"/>
      <c r="S209" s="153"/>
      <c r="T209" s="151"/>
      <c r="U209" s="153"/>
      <c r="V209" s="151"/>
      <c r="W209" s="153"/>
      <c r="X209" s="151"/>
      <c r="Y209" s="153"/>
      <c r="Z209" s="61">
        <f t="shared" si="30"/>
        <v>7876</v>
      </c>
      <c r="AA209" s="75">
        <f t="shared" si="30"/>
        <v>8811</v>
      </c>
      <c r="AB209" s="151"/>
      <c r="AC209" s="153"/>
      <c r="AD209" s="151"/>
      <c r="AE209" s="153"/>
      <c r="AF209" s="151"/>
      <c r="AG209" s="153"/>
      <c r="AH209" s="151"/>
      <c r="AI209" s="153"/>
      <c r="AJ209" s="151"/>
      <c r="AK209" s="153"/>
      <c r="AL209" s="151"/>
      <c r="AM209" s="153"/>
      <c r="AN209" s="151"/>
      <c r="AO209" s="153"/>
      <c r="AP209" s="61">
        <f t="shared" si="31"/>
        <v>7876</v>
      </c>
      <c r="AQ209" s="75">
        <f t="shared" si="31"/>
        <v>8811</v>
      </c>
      <c r="AR209" s="150" t="s">
        <v>58</v>
      </c>
      <c r="AS209" s="21">
        <f t="shared" si="32"/>
        <v>935</v>
      </c>
      <c r="AT209" s="21">
        <f t="shared" si="33"/>
        <v>935</v>
      </c>
      <c r="AU209" s="21">
        <f t="shared" si="34"/>
        <v>0</v>
      </c>
    </row>
    <row r="210" spans="1:47" x14ac:dyDescent="0.25">
      <c r="A210" s="4" t="s">
        <v>201</v>
      </c>
      <c r="B210" s="11" t="s">
        <v>211</v>
      </c>
      <c r="C210" s="5" t="s">
        <v>101</v>
      </c>
      <c r="D210" s="151">
        <v>104012</v>
      </c>
      <c r="E210" s="153">
        <v>113500</v>
      </c>
      <c r="F210" s="151">
        <v>800</v>
      </c>
      <c r="G210" s="153">
        <v>750</v>
      </c>
      <c r="H210" s="151">
        <v>10200</v>
      </c>
      <c r="I210" s="153">
        <v>10200</v>
      </c>
      <c r="J210" s="151">
        <v>1300</v>
      </c>
      <c r="K210" s="153">
        <v>1300</v>
      </c>
      <c r="L210" s="151">
        <v>3000</v>
      </c>
      <c r="M210" s="153">
        <v>3600</v>
      </c>
      <c r="N210" s="151">
        <v>500</v>
      </c>
      <c r="O210" s="153">
        <v>550</v>
      </c>
      <c r="P210" s="151"/>
      <c r="Q210" s="153"/>
      <c r="R210" s="151">
        <v>1800</v>
      </c>
      <c r="S210" s="153">
        <v>1800</v>
      </c>
      <c r="T210" s="151">
        <v>22000</v>
      </c>
      <c r="U210" s="153">
        <v>22000</v>
      </c>
      <c r="V210" s="151"/>
      <c r="W210" s="153"/>
      <c r="X210" s="151"/>
      <c r="Y210" s="153"/>
      <c r="Z210" s="61">
        <f t="shared" si="30"/>
        <v>143612</v>
      </c>
      <c r="AA210" s="75">
        <f t="shared" si="30"/>
        <v>153700</v>
      </c>
      <c r="AB210" s="151">
        <v>40</v>
      </c>
      <c r="AC210" s="153">
        <v>40</v>
      </c>
      <c r="AD210" s="151">
        <v>5980</v>
      </c>
      <c r="AE210" s="153">
        <v>4580</v>
      </c>
      <c r="AF210" s="151">
        <v>14245</v>
      </c>
      <c r="AG210" s="153">
        <v>14630</v>
      </c>
      <c r="AH210" s="151"/>
      <c r="AI210" s="153"/>
      <c r="AJ210" s="151"/>
      <c r="AK210" s="153"/>
      <c r="AL210" s="151"/>
      <c r="AM210" s="153"/>
      <c r="AN210" s="151"/>
      <c r="AO210" s="153"/>
      <c r="AP210" s="61">
        <f t="shared" si="31"/>
        <v>163877</v>
      </c>
      <c r="AQ210" s="75">
        <f t="shared" si="31"/>
        <v>172950</v>
      </c>
      <c r="AR210" s="150" t="s">
        <v>212</v>
      </c>
      <c r="AS210" s="21">
        <f t="shared" si="32"/>
        <v>9073</v>
      </c>
      <c r="AT210" s="21">
        <f t="shared" si="33"/>
        <v>9488</v>
      </c>
      <c r="AU210" s="21">
        <f t="shared" si="34"/>
        <v>-415</v>
      </c>
    </row>
    <row r="211" spans="1:47" x14ac:dyDescent="0.25">
      <c r="A211" s="16" t="s">
        <v>213</v>
      </c>
      <c r="B211" s="16" t="s">
        <v>108</v>
      </c>
      <c r="C211" s="17"/>
      <c r="D211" s="18">
        <f t="shared" ref="D211:AQ211" si="35">SUM(D186:D210)</f>
        <v>448290</v>
      </c>
      <c r="E211" s="105">
        <f t="shared" si="35"/>
        <v>491717</v>
      </c>
      <c r="F211" s="18">
        <f t="shared" si="35"/>
        <v>3491</v>
      </c>
      <c r="G211" s="18">
        <f t="shared" si="35"/>
        <v>3385</v>
      </c>
      <c r="H211" s="18">
        <f t="shared" si="35"/>
        <v>39782</v>
      </c>
      <c r="I211" s="18">
        <f t="shared" si="35"/>
        <v>36162</v>
      </c>
      <c r="J211" s="18">
        <f t="shared" si="35"/>
        <v>4116</v>
      </c>
      <c r="K211" s="18">
        <f t="shared" si="35"/>
        <v>4616</v>
      </c>
      <c r="L211" s="18">
        <f t="shared" si="35"/>
        <v>23136</v>
      </c>
      <c r="M211" s="18">
        <f t="shared" si="35"/>
        <v>25386</v>
      </c>
      <c r="N211" s="18">
        <f t="shared" si="35"/>
        <v>2405</v>
      </c>
      <c r="O211" s="18">
        <f t="shared" si="35"/>
        <v>2735</v>
      </c>
      <c r="P211" s="18">
        <f t="shared" si="35"/>
        <v>4200</v>
      </c>
      <c r="Q211" s="18">
        <f t="shared" si="35"/>
        <v>4200</v>
      </c>
      <c r="R211" s="18">
        <f t="shared" si="35"/>
        <v>18455</v>
      </c>
      <c r="S211" s="18">
        <f t="shared" si="35"/>
        <v>18235</v>
      </c>
      <c r="T211" s="18">
        <f t="shared" si="35"/>
        <v>35860</v>
      </c>
      <c r="U211" s="18">
        <f t="shared" si="35"/>
        <v>36626</v>
      </c>
      <c r="V211" s="18">
        <f t="shared" si="35"/>
        <v>17803</v>
      </c>
      <c r="W211" s="18">
        <f t="shared" si="35"/>
        <v>18100</v>
      </c>
      <c r="X211" s="18">
        <f t="shared" si="35"/>
        <v>0</v>
      </c>
      <c r="Y211" s="18">
        <f t="shared" si="35"/>
        <v>0</v>
      </c>
      <c r="Z211" s="18">
        <f t="shared" si="35"/>
        <v>597538</v>
      </c>
      <c r="AA211" s="18">
        <f t="shared" si="35"/>
        <v>641162</v>
      </c>
      <c r="AB211" s="18">
        <f t="shared" si="35"/>
        <v>255</v>
      </c>
      <c r="AC211" s="18">
        <f t="shared" si="35"/>
        <v>70</v>
      </c>
      <c r="AD211" s="18">
        <f t="shared" si="35"/>
        <v>41780</v>
      </c>
      <c r="AE211" s="18">
        <f t="shared" si="35"/>
        <v>40890</v>
      </c>
      <c r="AF211" s="18">
        <f t="shared" si="35"/>
        <v>52272</v>
      </c>
      <c r="AG211" s="18">
        <f t="shared" si="35"/>
        <v>47705</v>
      </c>
      <c r="AH211" s="18">
        <f t="shared" si="35"/>
        <v>2391</v>
      </c>
      <c r="AI211" s="18">
        <f t="shared" si="35"/>
        <v>2358</v>
      </c>
      <c r="AJ211" s="18">
        <f t="shared" si="35"/>
        <v>0</v>
      </c>
      <c r="AK211" s="18">
        <f t="shared" si="35"/>
        <v>0</v>
      </c>
      <c r="AL211" s="18">
        <f t="shared" si="35"/>
        <v>12368</v>
      </c>
      <c r="AM211" s="18">
        <f t="shared" si="35"/>
        <v>12368</v>
      </c>
      <c r="AN211" s="18">
        <f t="shared" si="35"/>
        <v>0</v>
      </c>
      <c r="AO211" s="18">
        <f t="shared" si="35"/>
        <v>0</v>
      </c>
      <c r="AP211" s="18">
        <f t="shared" si="35"/>
        <v>706604</v>
      </c>
      <c r="AQ211" s="18">
        <f t="shared" si="35"/>
        <v>744553</v>
      </c>
      <c r="AR211" s="150"/>
      <c r="AS211" s="156">
        <f t="shared" si="32"/>
        <v>37949</v>
      </c>
      <c r="AT211" s="156">
        <f t="shared" si="33"/>
        <v>43427</v>
      </c>
      <c r="AU211" s="156">
        <f t="shared" si="34"/>
        <v>-5478</v>
      </c>
    </row>
    <row r="212" spans="1:47" x14ac:dyDescent="0.25">
      <c r="A212" s="4" t="s">
        <v>214</v>
      </c>
      <c r="B212" s="4" t="s">
        <v>56</v>
      </c>
      <c r="C212" s="5" t="s">
        <v>57</v>
      </c>
      <c r="D212" s="151">
        <v>25649</v>
      </c>
      <c r="E212" s="153">
        <v>24056</v>
      </c>
      <c r="F212" s="151">
        <v>1280</v>
      </c>
      <c r="G212" s="153">
        <v>1280</v>
      </c>
      <c r="H212" s="151"/>
      <c r="I212" s="153"/>
      <c r="J212" s="151">
        <v>310</v>
      </c>
      <c r="K212" s="153">
        <v>285</v>
      </c>
      <c r="L212" s="151">
        <v>2480</v>
      </c>
      <c r="M212" s="153">
        <v>4680</v>
      </c>
      <c r="N212" s="151">
        <v>262</v>
      </c>
      <c r="O212" s="153">
        <v>262</v>
      </c>
      <c r="P212" s="151">
        <v>4385</v>
      </c>
      <c r="Q212" s="153">
        <v>4035</v>
      </c>
      <c r="R212" s="151">
        <v>710</v>
      </c>
      <c r="S212" s="153">
        <v>290</v>
      </c>
      <c r="T212" s="151"/>
      <c r="U212" s="153"/>
      <c r="V212" s="151"/>
      <c r="W212" s="153"/>
      <c r="X212" s="151"/>
      <c r="Y212" s="153"/>
      <c r="Z212" s="61">
        <f t="shared" ref="Z212:AA234" si="36">D212+F212+H212+J212+L212+P212+R212+T212+V212+X212+N212</f>
        <v>35076</v>
      </c>
      <c r="AA212" s="75">
        <f t="shared" si="36"/>
        <v>34888</v>
      </c>
      <c r="AB212" s="151">
        <v>50</v>
      </c>
      <c r="AC212" s="153"/>
      <c r="AD212" s="151">
        <v>4900</v>
      </c>
      <c r="AE212" s="153">
        <v>4260</v>
      </c>
      <c r="AF212" s="151">
        <v>2100</v>
      </c>
      <c r="AG212" s="153">
        <v>2100</v>
      </c>
      <c r="AH212" s="151"/>
      <c r="AI212" s="153"/>
      <c r="AJ212" s="151"/>
      <c r="AK212" s="153"/>
      <c r="AL212" s="151"/>
      <c r="AM212" s="153"/>
      <c r="AN212" s="151"/>
      <c r="AO212" s="153">
        <v>130</v>
      </c>
      <c r="AP212" s="61">
        <f t="shared" ref="AP212:AQ234" si="37">Z212+AB212+AD212+AF212+AH212+AJ212+AL212+AN212</f>
        <v>42126</v>
      </c>
      <c r="AQ212" s="75">
        <f t="shared" si="37"/>
        <v>41378</v>
      </c>
      <c r="AR212" s="150" t="s">
        <v>58</v>
      </c>
      <c r="AS212" s="21">
        <f t="shared" si="32"/>
        <v>-748</v>
      </c>
      <c r="AT212" s="21">
        <f t="shared" si="33"/>
        <v>-1593</v>
      </c>
      <c r="AU212" s="21">
        <f t="shared" si="34"/>
        <v>845</v>
      </c>
    </row>
    <row r="213" spans="1:47" x14ac:dyDescent="0.25">
      <c r="A213" s="4" t="s">
        <v>214</v>
      </c>
      <c r="B213" s="4" t="s">
        <v>98</v>
      </c>
      <c r="C213" s="5" t="s">
        <v>99</v>
      </c>
      <c r="D213" s="151"/>
      <c r="E213" s="153"/>
      <c r="F213" s="151"/>
      <c r="G213" s="153"/>
      <c r="H213" s="151"/>
      <c r="I213" s="153"/>
      <c r="J213" s="151"/>
      <c r="K213" s="153"/>
      <c r="L213" s="151"/>
      <c r="M213" s="153"/>
      <c r="N213" s="151"/>
      <c r="O213" s="153"/>
      <c r="P213" s="151"/>
      <c r="Q213" s="153"/>
      <c r="R213" s="151">
        <v>200</v>
      </c>
      <c r="S213" s="153">
        <v>180</v>
      </c>
      <c r="T213" s="151"/>
      <c r="U213" s="153"/>
      <c r="V213" s="151"/>
      <c r="W213" s="153"/>
      <c r="X213" s="151"/>
      <c r="Y213" s="153"/>
      <c r="Z213" s="61">
        <f t="shared" si="36"/>
        <v>200</v>
      </c>
      <c r="AA213" s="75">
        <f t="shared" si="36"/>
        <v>180</v>
      </c>
      <c r="AB213" s="151"/>
      <c r="AC213" s="153"/>
      <c r="AD213" s="151">
        <v>100</v>
      </c>
      <c r="AE213" s="153">
        <v>95</v>
      </c>
      <c r="AF213" s="151">
        <v>100</v>
      </c>
      <c r="AG213" s="153">
        <v>95</v>
      </c>
      <c r="AH213" s="151"/>
      <c r="AI213" s="153"/>
      <c r="AJ213" s="151"/>
      <c r="AK213" s="153"/>
      <c r="AL213" s="151"/>
      <c r="AM213" s="153"/>
      <c r="AN213" s="151"/>
      <c r="AO213" s="153"/>
      <c r="AP213" s="61">
        <f t="shared" si="37"/>
        <v>400</v>
      </c>
      <c r="AQ213" s="75">
        <f t="shared" si="37"/>
        <v>370</v>
      </c>
      <c r="AR213" s="150" t="s">
        <v>58</v>
      </c>
      <c r="AS213" s="21">
        <f t="shared" si="32"/>
        <v>-30</v>
      </c>
      <c r="AT213" s="21">
        <f t="shared" si="33"/>
        <v>0</v>
      </c>
      <c r="AU213" s="21">
        <f t="shared" si="34"/>
        <v>-30</v>
      </c>
    </row>
    <row r="214" spans="1:47" x14ac:dyDescent="0.25">
      <c r="A214" s="4" t="s">
        <v>214</v>
      </c>
      <c r="B214" s="4" t="s">
        <v>118</v>
      </c>
      <c r="C214" s="8" t="s">
        <v>119</v>
      </c>
      <c r="D214" s="151">
        <v>259859</v>
      </c>
      <c r="E214" s="153">
        <v>293857</v>
      </c>
      <c r="F214" s="151">
        <v>1750</v>
      </c>
      <c r="G214" s="153">
        <v>1750</v>
      </c>
      <c r="H214" s="43">
        <v>7033</v>
      </c>
      <c r="I214" s="153">
        <v>11821</v>
      </c>
      <c r="J214" s="151">
        <v>7700</v>
      </c>
      <c r="K214" s="153">
        <v>7700</v>
      </c>
      <c r="L214" s="151">
        <v>18700</v>
      </c>
      <c r="M214" s="153">
        <v>14700</v>
      </c>
      <c r="N214" s="151">
        <v>2196</v>
      </c>
      <c r="O214" s="153">
        <v>2196</v>
      </c>
      <c r="P214" s="151"/>
      <c r="Q214" s="153"/>
      <c r="R214" s="151">
        <v>5160</v>
      </c>
      <c r="S214" s="153">
        <v>4902</v>
      </c>
      <c r="T214" s="151">
        <v>43441</v>
      </c>
      <c r="U214" s="153">
        <v>48649</v>
      </c>
      <c r="V214" s="151"/>
      <c r="W214" s="153"/>
      <c r="X214" s="151"/>
      <c r="Y214" s="153"/>
      <c r="Z214" s="61">
        <f t="shared" si="36"/>
        <v>345839</v>
      </c>
      <c r="AA214" s="75">
        <f t="shared" si="36"/>
        <v>385575</v>
      </c>
      <c r="AB214" s="151">
        <v>100</v>
      </c>
      <c r="AC214" s="153"/>
      <c r="AD214" s="151">
        <v>24930</v>
      </c>
      <c r="AE214" s="153">
        <v>23893</v>
      </c>
      <c r="AF214" s="151">
        <v>38845</v>
      </c>
      <c r="AG214" s="153">
        <v>41000</v>
      </c>
      <c r="AH214" s="151"/>
      <c r="AI214" s="153"/>
      <c r="AJ214" s="151"/>
      <c r="AK214" s="153"/>
      <c r="AL214" s="151"/>
      <c r="AM214" s="153"/>
      <c r="AN214" s="151"/>
      <c r="AO214" s="153"/>
      <c r="AP214" s="61">
        <f t="shared" si="37"/>
        <v>409714</v>
      </c>
      <c r="AQ214" s="75">
        <f t="shared" si="37"/>
        <v>450468</v>
      </c>
      <c r="AR214" s="150" t="s">
        <v>193</v>
      </c>
      <c r="AS214" s="21">
        <f t="shared" si="32"/>
        <v>40754</v>
      </c>
      <c r="AT214" s="21">
        <f t="shared" si="33"/>
        <v>33998</v>
      </c>
      <c r="AU214" s="21">
        <f t="shared" si="34"/>
        <v>6756</v>
      </c>
    </row>
    <row r="215" spans="1:47" ht="39" x14ac:dyDescent="0.25">
      <c r="A215" s="4" t="s">
        <v>214</v>
      </c>
      <c r="B215" s="4" t="s">
        <v>120</v>
      </c>
      <c r="C215" s="8" t="s">
        <v>119</v>
      </c>
      <c r="D215" s="151">
        <v>15680</v>
      </c>
      <c r="E215" s="153">
        <v>15680</v>
      </c>
      <c r="F215" s="151"/>
      <c r="G215" s="153"/>
      <c r="H215" s="151"/>
      <c r="I215" s="153"/>
      <c r="J215" s="151"/>
      <c r="K215" s="153"/>
      <c r="L215" s="151"/>
      <c r="M215" s="153"/>
      <c r="N215" s="151"/>
      <c r="O215" s="153"/>
      <c r="P215" s="151"/>
      <c r="Q215" s="153"/>
      <c r="R215" s="151"/>
      <c r="S215" s="153"/>
      <c r="T215" s="151"/>
      <c r="U215" s="153"/>
      <c r="V215" s="151"/>
      <c r="W215" s="153"/>
      <c r="X215" s="151"/>
      <c r="Y215" s="153"/>
      <c r="Z215" s="61">
        <f t="shared" si="36"/>
        <v>15680</v>
      </c>
      <c r="AA215" s="75">
        <f t="shared" si="36"/>
        <v>15680</v>
      </c>
      <c r="AB215" s="151"/>
      <c r="AC215" s="153"/>
      <c r="AD215" s="151"/>
      <c r="AE215" s="153"/>
      <c r="AF215" s="151"/>
      <c r="AG215" s="153"/>
      <c r="AH215" s="151"/>
      <c r="AI215" s="153"/>
      <c r="AJ215" s="151"/>
      <c r="AK215" s="153"/>
      <c r="AL215" s="151"/>
      <c r="AM215" s="153"/>
      <c r="AN215" s="151"/>
      <c r="AO215" s="153"/>
      <c r="AP215" s="61">
        <f t="shared" si="37"/>
        <v>15680</v>
      </c>
      <c r="AQ215" s="75">
        <f t="shared" si="37"/>
        <v>15680</v>
      </c>
      <c r="AR215" s="150" t="s">
        <v>193</v>
      </c>
      <c r="AS215" s="21">
        <f t="shared" si="32"/>
        <v>0</v>
      </c>
      <c r="AT215" s="21">
        <f t="shared" si="33"/>
        <v>0</v>
      </c>
      <c r="AU215" s="21">
        <f t="shared" si="34"/>
        <v>0</v>
      </c>
    </row>
    <row r="216" spans="1:47" ht="26.25" x14ac:dyDescent="0.25">
      <c r="A216" s="4" t="s">
        <v>214</v>
      </c>
      <c r="B216" s="4" t="s">
        <v>121</v>
      </c>
      <c r="C216" s="8" t="s">
        <v>119</v>
      </c>
      <c r="D216" s="151">
        <v>8591</v>
      </c>
      <c r="E216" s="153">
        <v>8591</v>
      </c>
      <c r="F216" s="151"/>
      <c r="G216" s="153"/>
      <c r="H216" s="151"/>
      <c r="I216" s="153"/>
      <c r="J216" s="151"/>
      <c r="K216" s="153"/>
      <c r="L216" s="151"/>
      <c r="M216" s="153"/>
      <c r="N216" s="151"/>
      <c r="O216" s="153"/>
      <c r="P216" s="151"/>
      <c r="Q216" s="153"/>
      <c r="R216" s="151"/>
      <c r="S216" s="153"/>
      <c r="T216" s="151"/>
      <c r="U216" s="153"/>
      <c r="V216" s="151"/>
      <c r="W216" s="153"/>
      <c r="X216" s="151"/>
      <c r="Y216" s="153"/>
      <c r="Z216" s="61">
        <f t="shared" si="36"/>
        <v>8591</v>
      </c>
      <c r="AA216" s="75">
        <f t="shared" si="36"/>
        <v>8591</v>
      </c>
      <c r="AB216" s="151"/>
      <c r="AC216" s="153"/>
      <c r="AD216" s="151"/>
      <c r="AE216" s="153"/>
      <c r="AF216" s="151"/>
      <c r="AG216" s="153"/>
      <c r="AH216" s="151"/>
      <c r="AI216" s="153"/>
      <c r="AJ216" s="151"/>
      <c r="AK216" s="153"/>
      <c r="AL216" s="151"/>
      <c r="AM216" s="153"/>
      <c r="AN216" s="151"/>
      <c r="AO216" s="153"/>
      <c r="AP216" s="61">
        <f t="shared" si="37"/>
        <v>8591</v>
      </c>
      <c r="AQ216" s="75">
        <f t="shared" si="37"/>
        <v>8591</v>
      </c>
      <c r="AR216" s="150" t="s">
        <v>193</v>
      </c>
      <c r="AS216" s="21">
        <f t="shared" si="32"/>
        <v>0</v>
      </c>
      <c r="AT216" s="21">
        <f t="shared" si="33"/>
        <v>0</v>
      </c>
      <c r="AU216" s="21">
        <f t="shared" si="34"/>
        <v>0</v>
      </c>
    </row>
    <row r="217" spans="1:47" ht="26.25" x14ac:dyDescent="0.25">
      <c r="A217" s="4" t="s">
        <v>214</v>
      </c>
      <c r="B217" s="4" t="s">
        <v>215</v>
      </c>
      <c r="C217" s="8" t="s">
        <v>119</v>
      </c>
      <c r="D217" s="151"/>
      <c r="E217" s="153"/>
      <c r="F217" s="151"/>
      <c r="G217" s="153"/>
      <c r="H217" s="151"/>
      <c r="I217" s="153"/>
      <c r="J217" s="151"/>
      <c r="K217" s="153"/>
      <c r="L217" s="151"/>
      <c r="M217" s="153"/>
      <c r="N217" s="151"/>
      <c r="O217" s="153"/>
      <c r="P217" s="151"/>
      <c r="Q217" s="153"/>
      <c r="R217" s="151"/>
      <c r="S217" s="153"/>
      <c r="T217" s="151">
        <v>820</v>
      </c>
      <c r="U217" s="153">
        <v>1430</v>
      </c>
      <c r="V217" s="151"/>
      <c r="W217" s="153"/>
      <c r="X217" s="151"/>
      <c r="Y217" s="153"/>
      <c r="Z217" s="61">
        <f t="shared" si="36"/>
        <v>820</v>
      </c>
      <c r="AA217" s="75">
        <f t="shared" si="36"/>
        <v>1430</v>
      </c>
      <c r="AB217" s="151"/>
      <c r="AC217" s="153"/>
      <c r="AD217" s="151"/>
      <c r="AE217" s="153"/>
      <c r="AF217" s="151"/>
      <c r="AG217" s="153"/>
      <c r="AH217" s="151"/>
      <c r="AI217" s="153"/>
      <c r="AJ217" s="151"/>
      <c r="AK217" s="153"/>
      <c r="AL217" s="151"/>
      <c r="AM217" s="153"/>
      <c r="AN217" s="151"/>
      <c r="AO217" s="153"/>
      <c r="AP217" s="61">
        <f t="shared" si="37"/>
        <v>820</v>
      </c>
      <c r="AQ217" s="75">
        <f t="shared" si="37"/>
        <v>1430</v>
      </c>
      <c r="AR217" s="150" t="s">
        <v>193</v>
      </c>
      <c r="AS217" s="21">
        <f t="shared" si="32"/>
        <v>610</v>
      </c>
      <c r="AT217" s="21">
        <f t="shared" si="33"/>
        <v>0</v>
      </c>
      <c r="AU217" s="21">
        <f t="shared" si="34"/>
        <v>610</v>
      </c>
    </row>
    <row r="218" spans="1:47" ht="26.25" x14ac:dyDescent="0.25">
      <c r="A218" s="4" t="s">
        <v>214</v>
      </c>
      <c r="B218" s="4" t="s">
        <v>65</v>
      </c>
      <c r="C218" s="5" t="s">
        <v>60</v>
      </c>
      <c r="D218" s="151">
        <v>74888</v>
      </c>
      <c r="E218" s="153">
        <v>71484</v>
      </c>
      <c r="F218" s="151">
        <v>10</v>
      </c>
      <c r="G218" s="153">
        <v>0</v>
      </c>
      <c r="H218" s="151"/>
      <c r="I218" s="153"/>
      <c r="J218" s="151">
        <v>360</v>
      </c>
      <c r="K218" s="153">
        <v>0</v>
      </c>
      <c r="L218" s="151">
        <v>2720</v>
      </c>
      <c r="M218" s="153">
        <v>0</v>
      </c>
      <c r="N218" s="151">
        <v>540</v>
      </c>
      <c r="O218" s="153">
        <v>480</v>
      </c>
      <c r="P218" s="151">
        <v>4066</v>
      </c>
      <c r="Q218" s="153">
        <v>0</v>
      </c>
      <c r="R218" s="151">
        <v>3220</v>
      </c>
      <c r="S218" s="153">
        <v>2900</v>
      </c>
      <c r="T218" s="151"/>
      <c r="U218" s="153"/>
      <c r="V218" s="151"/>
      <c r="W218" s="153"/>
      <c r="X218" s="151"/>
      <c r="Y218" s="153"/>
      <c r="Z218" s="61">
        <f t="shared" si="36"/>
        <v>85804</v>
      </c>
      <c r="AA218" s="75">
        <f t="shared" si="36"/>
        <v>74864</v>
      </c>
      <c r="AB218" s="151"/>
      <c r="AC218" s="153"/>
      <c r="AD218" s="151">
        <v>6070</v>
      </c>
      <c r="AE218" s="153">
        <v>4700</v>
      </c>
      <c r="AF218" s="151">
        <v>4510</v>
      </c>
      <c r="AG218" s="153">
        <v>4400</v>
      </c>
      <c r="AH218" s="151"/>
      <c r="AI218" s="153"/>
      <c r="AJ218" s="151"/>
      <c r="AK218" s="153"/>
      <c r="AL218" s="151"/>
      <c r="AM218" s="153"/>
      <c r="AN218" s="151">
        <v>270</v>
      </c>
      <c r="AO218" s="153">
        <v>264</v>
      </c>
      <c r="AP218" s="61">
        <f t="shared" si="37"/>
        <v>96654</v>
      </c>
      <c r="AQ218" s="75">
        <f t="shared" si="37"/>
        <v>84228</v>
      </c>
      <c r="AR218" s="150" t="s">
        <v>61</v>
      </c>
      <c r="AS218" s="21">
        <f t="shared" si="32"/>
        <v>-12426</v>
      </c>
      <c r="AT218" s="21">
        <f t="shared" si="33"/>
        <v>-3404</v>
      </c>
      <c r="AU218" s="21">
        <f t="shared" si="34"/>
        <v>-9022</v>
      </c>
    </row>
    <row r="219" spans="1:47" ht="51.75" x14ac:dyDescent="0.25">
      <c r="A219" s="4" t="s">
        <v>214</v>
      </c>
      <c r="B219" s="4" t="s">
        <v>216</v>
      </c>
      <c r="C219" s="5" t="s">
        <v>60</v>
      </c>
      <c r="D219" s="151">
        <v>3200</v>
      </c>
      <c r="E219" s="153"/>
      <c r="F219" s="151"/>
      <c r="G219" s="153"/>
      <c r="H219" s="151"/>
      <c r="I219" s="153"/>
      <c r="J219" s="151"/>
      <c r="K219" s="153"/>
      <c r="L219" s="151"/>
      <c r="M219" s="153"/>
      <c r="N219" s="151"/>
      <c r="O219" s="153"/>
      <c r="P219" s="151"/>
      <c r="Q219" s="153"/>
      <c r="R219" s="151"/>
      <c r="S219" s="153"/>
      <c r="T219" s="151"/>
      <c r="U219" s="153"/>
      <c r="V219" s="151"/>
      <c r="W219" s="153"/>
      <c r="X219" s="151"/>
      <c r="Y219" s="153"/>
      <c r="Z219" s="61">
        <f t="shared" si="36"/>
        <v>3200</v>
      </c>
      <c r="AA219" s="75">
        <f t="shared" si="36"/>
        <v>0</v>
      </c>
      <c r="AB219" s="151"/>
      <c r="AC219" s="153"/>
      <c r="AD219" s="151"/>
      <c r="AE219" s="153"/>
      <c r="AF219" s="151"/>
      <c r="AG219" s="153"/>
      <c r="AH219" s="151"/>
      <c r="AI219" s="153"/>
      <c r="AJ219" s="151"/>
      <c r="AK219" s="153"/>
      <c r="AL219" s="151"/>
      <c r="AM219" s="153"/>
      <c r="AN219" s="151"/>
      <c r="AO219" s="153"/>
      <c r="AP219" s="61">
        <f t="shared" si="37"/>
        <v>3200</v>
      </c>
      <c r="AQ219" s="75">
        <f t="shared" si="37"/>
        <v>0</v>
      </c>
      <c r="AR219" s="150" t="s">
        <v>167</v>
      </c>
      <c r="AS219" s="21">
        <f t="shared" si="32"/>
        <v>-3200</v>
      </c>
      <c r="AT219" s="21">
        <f t="shared" si="33"/>
        <v>-3200</v>
      </c>
      <c r="AU219" s="21">
        <f t="shared" si="34"/>
        <v>0</v>
      </c>
    </row>
    <row r="220" spans="1:47" x14ac:dyDescent="0.25">
      <c r="A220" s="4" t="s">
        <v>214</v>
      </c>
      <c r="B220" s="4" t="s">
        <v>217</v>
      </c>
      <c r="C220" s="5" t="s">
        <v>165</v>
      </c>
      <c r="D220" s="151"/>
      <c r="E220" s="153"/>
      <c r="F220" s="151"/>
      <c r="G220" s="153"/>
      <c r="H220" s="151"/>
      <c r="I220" s="153"/>
      <c r="J220" s="151"/>
      <c r="K220" s="153"/>
      <c r="L220" s="151"/>
      <c r="M220" s="153"/>
      <c r="N220" s="151"/>
      <c r="O220" s="153"/>
      <c r="P220" s="151"/>
      <c r="Q220" s="153"/>
      <c r="R220" s="151"/>
      <c r="S220" s="153"/>
      <c r="T220" s="151"/>
      <c r="U220" s="153"/>
      <c r="V220" s="151"/>
      <c r="W220" s="153"/>
      <c r="X220" s="151"/>
      <c r="Y220" s="153"/>
      <c r="Z220" s="61">
        <f t="shared" si="36"/>
        <v>0</v>
      </c>
      <c r="AA220" s="75">
        <f t="shared" si="36"/>
        <v>0</v>
      </c>
      <c r="AB220" s="151"/>
      <c r="AC220" s="153"/>
      <c r="AD220" s="151"/>
      <c r="AE220" s="153"/>
      <c r="AF220" s="151">
        <v>2980</v>
      </c>
      <c r="AG220" s="153">
        <v>2980</v>
      </c>
      <c r="AH220" s="151"/>
      <c r="AI220" s="153"/>
      <c r="AJ220" s="151"/>
      <c r="AK220" s="153"/>
      <c r="AL220" s="151"/>
      <c r="AM220" s="153"/>
      <c r="AN220" s="151"/>
      <c r="AO220" s="153"/>
      <c r="AP220" s="61">
        <f t="shared" si="37"/>
        <v>2980</v>
      </c>
      <c r="AQ220" s="75">
        <f t="shared" si="37"/>
        <v>2980</v>
      </c>
      <c r="AR220" s="150" t="s">
        <v>167</v>
      </c>
      <c r="AS220" s="21">
        <f t="shared" si="32"/>
        <v>0</v>
      </c>
      <c r="AT220" s="21">
        <f t="shared" si="33"/>
        <v>0</v>
      </c>
      <c r="AU220" s="21">
        <f t="shared" si="34"/>
        <v>0</v>
      </c>
    </row>
    <row r="221" spans="1:47" x14ac:dyDescent="0.25">
      <c r="A221" s="4" t="s">
        <v>214</v>
      </c>
      <c r="B221" s="4" t="s">
        <v>218</v>
      </c>
      <c r="C221" s="5" t="s">
        <v>165</v>
      </c>
      <c r="D221" s="151"/>
      <c r="E221" s="153"/>
      <c r="F221" s="151"/>
      <c r="G221" s="153"/>
      <c r="H221" s="43">
        <v>7980</v>
      </c>
      <c r="I221" s="153">
        <v>9065</v>
      </c>
      <c r="J221" s="151">
        <v>300</v>
      </c>
      <c r="K221" s="153"/>
      <c r="L221" s="151">
        <v>1600</v>
      </c>
      <c r="M221" s="153">
        <v>1600</v>
      </c>
      <c r="N221" s="151"/>
      <c r="O221" s="153"/>
      <c r="P221" s="151"/>
      <c r="Q221" s="153"/>
      <c r="R221" s="151"/>
      <c r="S221" s="153"/>
      <c r="T221" s="151"/>
      <c r="U221" s="153"/>
      <c r="V221" s="151"/>
      <c r="W221" s="153"/>
      <c r="X221" s="151"/>
      <c r="Y221" s="153"/>
      <c r="Z221" s="61">
        <f t="shared" si="36"/>
        <v>9880</v>
      </c>
      <c r="AA221" s="75">
        <f t="shared" si="36"/>
        <v>10665</v>
      </c>
      <c r="AB221" s="151"/>
      <c r="AC221" s="153"/>
      <c r="AD221" s="151"/>
      <c r="AE221" s="153"/>
      <c r="AF221" s="151"/>
      <c r="AG221" s="153"/>
      <c r="AH221" s="151"/>
      <c r="AI221" s="153"/>
      <c r="AJ221" s="151"/>
      <c r="AK221" s="153"/>
      <c r="AL221" s="151"/>
      <c r="AM221" s="153"/>
      <c r="AN221" s="151"/>
      <c r="AO221" s="153"/>
      <c r="AP221" s="61">
        <f t="shared" si="37"/>
        <v>9880</v>
      </c>
      <c r="AQ221" s="75">
        <f t="shared" si="37"/>
        <v>10665</v>
      </c>
      <c r="AR221" s="150" t="s">
        <v>186</v>
      </c>
      <c r="AS221" s="21">
        <f t="shared" si="32"/>
        <v>785</v>
      </c>
      <c r="AT221" s="21">
        <f t="shared" si="33"/>
        <v>0</v>
      </c>
      <c r="AU221" s="21">
        <f t="shared" si="34"/>
        <v>785</v>
      </c>
    </row>
    <row r="222" spans="1:47" x14ac:dyDescent="0.25">
      <c r="A222" s="4" t="s">
        <v>214</v>
      </c>
      <c r="B222" s="4" t="s">
        <v>219</v>
      </c>
      <c r="C222" s="5" t="s">
        <v>220</v>
      </c>
      <c r="D222" s="151"/>
      <c r="E222" s="153"/>
      <c r="F222" s="151"/>
      <c r="G222" s="153"/>
      <c r="H222" s="62"/>
      <c r="I222" s="153"/>
      <c r="J222" s="151"/>
      <c r="K222" s="153"/>
      <c r="L222" s="151"/>
      <c r="M222" s="153"/>
      <c r="N222" s="151"/>
      <c r="O222" s="153"/>
      <c r="P222" s="151"/>
      <c r="Q222" s="153"/>
      <c r="R222" s="151"/>
      <c r="S222" s="153"/>
      <c r="T222" s="151"/>
      <c r="U222" s="153"/>
      <c r="V222" s="151"/>
      <c r="W222" s="153"/>
      <c r="X222" s="151"/>
      <c r="Y222" s="153"/>
      <c r="Z222" s="61">
        <f t="shared" si="36"/>
        <v>0</v>
      </c>
      <c r="AA222" s="75">
        <f t="shared" si="36"/>
        <v>0</v>
      </c>
      <c r="AB222" s="151"/>
      <c r="AC222" s="153"/>
      <c r="AD222" s="151">
        <v>1280</v>
      </c>
      <c r="AE222" s="153"/>
      <c r="AF222" s="151"/>
      <c r="AG222" s="153"/>
      <c r="AH222" s="151"/>
      <c r="AI222" s="153"/>
      <c r="AJ222" s="151"/>
      <c r="AK222" s="153"/>
      <c r="AL222" s="151"/>
      <c r="AM222" s="153"/>
      <c r="AN222" s="151"/>
      <c r="AO222" s="153"/>
      <c r="AP222" s="61">
        <f t="shared" si="37"/>
        <v>1280</v>
      </c>
      <c r="AQ222" s="75">
        <f t="shared" si="37"/>
        <v>0</v>
      </c>
      <c r="AR222" s="150" t="s">
        <v>221</v>
      </c>
      <c r="AS222" s="21">
        <f t="shared" si="32"/>
        <v>-1280</v>
      </c>
      <c r="AT222" s="21">
        <f t="shared" si="33"/>
        <v>0</v>
      </c>
      <c r="AU222" s="21">
        <f t="shared" si="34"/>
        <v>-1280</v>
      </c>
    </row>
    <row r="223" spans="1:47" x14ac:dyDescent="0.25">
      <c r="A223" s="4" t="s">
        <v>214</v>
      </c>
      <c r="B223" s="4" t="s">
        <v>222</v>
      </c>
      <c r="C223" s="5" t="s">
        <v>67</v>
      </c>
      <c r="D223" s="151"/>
      <c r="E223" s="153"/>
      <c r="F223" s="151"/>
      <c r="G223" s="153"/>
      <c r="H223" s="151"/>
      <c r="I223" s="153"/>
      <c r="J223" s="151"/>
      <c r="K223" s="153"/>
      <c r="L223" s="151"/>
      <c r="M223" s="153"/>
      <c r="N223" s="151"/>
      <c r="O223" s="153"/>
      <c r="P223" s="151"/>
      <c r="Q223" s="153"/>
      <c r="R223" s="151"/>
      <c r="S223" s="153"/>
      <c r="T223" s="151"/>
      <c r="U223" s="153"/>
      <c r="V223" s="151"/>
      <c r="W223" s="153"/>
      <c r="X223" s="151"/>
      <c r="Y223" s="153"/>
      <c r="Z223" s="61">
        <f t="shared" si="36"/>
        <v>0</v>
      </c>
      <c r="AA223" s="75">
        <f t="shared" si="36"/>
        <v>0</v>
      </c>
      <c r="AB223" s="151"/>
      <c r="AC223" s="153"/>
      <c r="AD223" s="151"/>
      <c r="AE223" s="153"/>
      <c r="AF223" s="151"/>
      <c r="AG223" s="153"/>
      <c r="AH223" s="151"/>
      <c r="AI223" s="153"/>
      <c r="AJ223" s="151"/>
      <c r="AK223" s="153"/>
      <c r="AL223" s="151"/>
      <c r="AM223" s="153"/>
      <c r="AN223" s="151"/>
      <c r="AO223" s="153"/>
      <c r="AP223" s="61">
        <f t="shared" si="37"/>
        <v>0</v>
      </c>
      <c r="AQ223" s="75">
        <f t="shared" si="37"/>
        <v>0</v>
      </c>
      <c r="AR223" s="150" t="s">
        <v>68</v>
      </c>
      <c r="AS223" s="21">
        <f t="shared" si="32"/>
        <v>0</v>
      </c>
      <c r="AT223" s="21">
        <f t="shared" si="33"/>
        <v>0</v>
      </c>
      <c r="AU223" s="21">
        <f t="shared" si="34"/>
        <v>0</v>
      </c>
    </row>
    <row r="224" spans="1:47" x14ac:dyDescent="0.25">
      <c r="A224" s="4" t="s">
        <v>214</v>
      </c>
      <c r="B224" s="4" t="s">
        <v>126</v>
      </c>
      <c r="C224" s="5" t="s">
        <v>73</v>
      </c>
      <c r="D224" s="151">
        <v>7892</v>
      </c>
      <c r="E224" s="153">
        <v>8557</v>
      </c>
      <c r="F224" s="151">
        <v>15</v>
      </c>
      <c r="G224" s="153">
        <v>0</v>
      </c>
      <c r="H224" s="151"/>
      <c r="I224" s="153"/>
      <c r="J224" s="151"/>
      <c r="K224" s="153"/>
      <c r="L224" s="151">
        <v>480</v>
      </c>
      <c r="M224" s="153">
        <v>480</v>
      </c>
      <c r="N224" s="151"/>
      <c r="O224" s="153"/>
      <c r="P224" s="151">
        <v>240</v>
      </c>
      <c r="Q224" s="153">
        <v>240</v>
      </c>
      <c r="R224" s="151">
        <v>20</v>
      </c>
      <c r="S224" s="153">
        <v>20</v>
      </c>
      <c r="T224" s="151"/>
      <c r="U224" s="153"/>
      <c r="V224" s="151"/>
      <c r="W224" s="153"/>
      <c r="X224" s="151"/>
      <c r="Y224" s="153"/>
      <c r="Z224" s="61">
        <f t="shared" si="36"/>
        <v>8647</v>
      </c>
      <c r="AA224" s="75">
        <f t="shared" si="36"/>
        <v>9297</v>
      </c>
      <c r="AB224" s="151"/>
      <c r="AC224" s="153"/>
      <c r="AD224" s="151">
        <v>94</v>
      </c>
      <c r="AE224" s="153">
        <v>94</v>
      </c>
      <c r="AF224" s="151">
        <v>150</v>
      </c>
      <c r="AG224" s="153">
        <v>150</v>
      </c>
      <c r="AH224" s="151">
        <v>1796</v>
      </c>
      <c r="AI224" s="153">
        <v>1802</v>
      </c>
      <c r="AJ224" s="151"/>
      <c r="AK224" s="153"/>
      <c r="AL224" s="151"/>
      <c r="AM224" s="153"/>
      <c r="AN224" s="151"/>
      <c r="AO224" s="153"/>
      <c r="AP224" s="61">
        <f t="shared" si="37"/>
        <v>10687</v>
      </c>
      <c r="AQ224" s="75">
        <f t="shared" si="37"/>
        <v>11343</v>
      </c>
      <c r="AR224" s="150" t="s">
        <v>74</v>
      </c>
      <c r="AS224" s="21">
        <f t="shared" si="32"/>
        <v>656</v>
      </c>
      <c r="AT224" s="21">
        <f t="shared" si="33"/>
        <v>665</v>
      </c>
      <c r="AU224" s="21">
        <f t="shared" si="34"/>
        <v>-9</v>
      </c>
    </row>
    <row r="225" spans="1:47" x14ac:dyDescent="0.25">
      <c r="A225" s="4" t="s">
        <v>214</v>
      </c>
      <c r="B225" s="4" t="s">
        <v>77</v>
      </c>
      <c r="C225" s="5" t="s">
        <v>73</v>
      </c>
      <c r="D225" s="151">
        <v>18316</v>
      </c>
      <c r="E225" s="153">
        <v>18375</v>
      </c>
      <c r="F225" s="151">
        <v>256</v>
      </c>
      <c r="G225" s="153">
        <v>256</v>
      </c>
      <c r="H225" s="43">
        <v>6628</v>
      </c>
      <c r="I225" s="153">
        <v>11025</v>
      </c>
      <c r="J225" s="151">
        <v>240</v>
      </c>
      <c r="K225" s="153">
        <v>190</v>
      </c>
      <c r="L225" s="151">
        <v>2140</v>
      </c>
      <c r="M225" s="153">
        <v>1850</v>
      </c>
      <c r="N225" s="151">
        <v>120</v>
      </c>
      <c r="O225" s="153">
        <v>120</v>
      </c>
      <c r="P225" s="151"/>
      <c r="Q225" s="153"/>
      <c r="R225" s="151">
        <v>130</v>
      </c>
      <c r="S225" s="153">
        <v>120</v>
      </c>
      <c r="T225" s="151"/>
      <c r="U225" s="153"/>
      <c r="V225" s="151"/>
      <c r="W225" s="153"/>
      <c r="X225" s="151"/>
      <c r="Y225" s="153"/>
      <c r="Z225" s="61">
        <f t="shared" si="36"/>
        <v>27830</v>
      </c>
      <c r="AA225" s="75">
        <f t="shared" si="36"/>
        <v>31936</v>
      </c>
      <c r="AB225" s="151"/>
      <c r="AC225" s="153"/>
      <c r="AD225" s="151">
        <v>4750</v>
      </c>
      <c r="AE225" s="153">
        <v>3090</v>
      </c>
      <c r="AF225" s="151">
        <v>2260</v>
      </c>
      <c r="AG225" s="153">
        <v>1790</v>
      </c>
      <c r="AH225" s="151"/>
      <c r="AI225" s="153"/>
      <c r="AJ225" s="151"/>
      <c r="AK225" s="153"/>
      <c r="AL225" s="151"/>
      <c r="AM225" s="153"/>
      <c r="AN225" s="151"/>
      <c r="AO225" s="153"/>
      <c r="AP225" s="61">
        <f t="shared" si="37"/>
        <v>34840</v>
      </c>
      <c r="AQ225" s="75">
        <f t="shared" si="37"/>
        <v>36816</v>
      </c>
      <c r="AR225" s="150" t="s">
        <v>74</v>
      </c>
      <c r="AS225" s="21">
        <f t="shared" si="32"/>
        <v>1976</v>
      </c>
      <c r="AT225" s="21">
        <f t="shared" si="33"/>
        <v>59</v>
      </c>
      <c r="AU225" s="21">
        <f t="shared" si="34"/>
        <v>1917</v>
      </c>
    </row>
    <row r="226" spans="1:47" x14ac:dyDescent="0.25">
      <c r="A226" s="4" t="s">
        <v>214</v>
      </c>
      <c r="B226" s="4" t="s">
        <v>223</v>
      </c>
      <c r="C226" s="5" t="s">
        <v>73</v>
      </c>
      <c r="D226" s="151"/>
      <c r="E226" s="153"/>
      <c r="F226" s="151"/>
      <c r="G226" s="153"/>
      <c r="H226" s="151"/>
      <c r="I226" s="153"/>
      <c r="J226" s="151"/>
      <c r="K226" s="153"/>
      <c r="L226" s="151">
        <v>0</v>
      </c>
      <c r="M226" s="153"/>
      <c r="N226" s="151"/>
      <c r="O226" s="153"/>
      <c r="P226" s="151"/>
      <c r="Q226" s="153"/>
      <c r="R226" s="151"/>
      <c r="S226" s="153"/>
      <c r="T226" s="151"/>
      <c r="U226" s="153"/>
      <c r="V226" s="151"/>
      <c r="W226" s="153"/>
      <c r="X226" s="151"/>
      <c r="Y226" s="153"/>
      <c r="Z226" s="61">
        <f t="shared" si="36"/>
        <v>0</v>
      </c>
      <c r="AA226" s="75">
        <f t="shared" si="36"/>
        <v>0</v>
      </c>
      <c r="AB226" s="151"/>
      <c r="AC226" s="153"/>
      <c r="AD226" s="151">
        <v>1800</v>
      </c>
      <c r="AE226" s="153">
        <v>1800</v>
      </c>
      <c r="AF226" s="151">
        <v>30</v>
      </c>
      <c r="AG226" s="153">
        <v>30</v>
      </c>
      <c r="AH226" s="151"/>
      <c r="AI226" s="153"/>
      <c r="AJ226" s="151"/>
      <c r="AK226" s="153"/>
      <c r="AL226" s="151"/>
      <c r="AM226" s="153"/>
      <c r="AN226" s="151"/>
      <c r="AO226" s="153"/>
      <c r="AP226" s="61">
        <f t="shared" si="37"/>
        <v>1830</v>
      </c>
      <c r="AQ226" s="75">
        <f t="shared" si="37"/>
        <v>1830</v>
      </c>
      <c r="AR226" s="150" t="s">
        <v>58</v>
      </c>
      <c r="AS226" s="21">
        <f t="shared" si="32"/>
        <v>0</v>
      </c>
      <c r="AT226" s="21">
        <f t="shared" si="33"/>
        <v>0</v>
      </c>
      <c r="AU226" s="21">
        <f t="shared" si="34"/>
        <v>0</v>
      </c>
    </row>
    <row r="227" spans="1:47" x14ac:dyDescent="0.25">
      <c r="A227" s="4" t="s">
        <v>214</v>
      </c>
      <c r="B227" s="4" t="s">
        <v>69</v>
      </c>
      <c r="C227" s="5" t="s">
        <v>70</v>
      </c>
      <c r="D227" s="151">
        <v>3410</v>
      </c>
      <c r="E227" s="153">
        <v>3559</v>
      </c>
      <c r="F227" s="151"/>
      <c r="G227" s="153"/>
      <c r="H227" s="151"/>
      <c r="I227" s="153"/>
      <c r="J227" s="151"/>
      <c r="K227" s="153"/>
      <c r="L227" s="151"/>
      <c r="M227" s="153"/>
      <c r="N227" s="151"/>
      <c r="O227" s="153"/>
      <c r="P227" s="151"/>
      <c r="Q227" s="153"/>
      <c r="R227" s="151">
        <v>100</v>
      </c>
      <c r="S227" s="153">
        <v>95</v>
      </c>
      <c r="T227" s="151"/>
      <c r="U227" s="153"/>
      <c r="V227" s="151"/>
      <c r="W227" s="153"/>
      <c r="X227" s="151"/>
      <c r="Y227" s="153"/>
      <c r="Z227" s="61">
        <f t="shared" si="36"/>
        <v>3510</v>
      </c>
      <c r="AA227" s="75">
        <f t="shared" si="36"/>
        <v>3654</v>
      </c>
      <c r="AB227" s="151"/>
      <c r="AC227" s="153"/>
      <c r="AD227" s="151">
        <v>615</v>
      </c>
      <c r="AE227" s="153">
        <v>580</v>
      </c>
      <c r="AF227" s="151">
        <v>1380</v>
      </c>
      <c r="AG227" s="153">
        <v>1380</v>
      </c>
      <c r="AH227" s="151"/>
      <c r="AI227" s="153"/>
      <c r="AJ227" s="151"/>
      <c r="AK227" s="153"/>
      <c r="AL227" s="151"/>
      <c r="AM227" s="153"/>
      <c r="AN227" s="151"/>
      <c r="AO227" s="153"/>
      <c r="AP227" s="61">
        <f t="shared" si="37"/>
        <v>5505</v>
      </c>
      <c r="AQ227" s="75">
        <f t="shared" si="37"/>
        <v>5614</v>
      </c>
      <c r="AR227" s="150" t="s">
        <v>71</v>
      </c>
      <c r="AS227" s="21">
        <f t="shared" si="32"/>
        <v>109</v>
      </c>
      <c r="AT227" s="21">
        <f t="shared" si="33"/>
        <v>149</v>
      </c>
      <c r="AU227" s="21">
        <f t="shared" si="34"/>
        <v>-40</v>
      </c>
    </row>
    <row r="228" spans="1:47" x14ac:dyDescent="0.25">
      <c r="A228" s="4" t="s">
        <v>214</v>
      </c>
      <c r="B228" s="4" t="s">
        <v>97</v>
      </c>
      <c r="C228" s="5" t="s">
        <v>96</v>
      </c>
      <c r="D228" s="151"/>
      <c r="E228" s="153"/>
      <c r="F228" s="151"/>
      <c r="G228" s="153"/>
      <c r="H228" s="151"/>
      <c r="I228" s="153"/>
      <c r="J228" s="151"/>
      <c r="K228" s="153"/>
      <c r="L228" s="151"/>
      <c r="M228" s="153"/>
      <c r="N228" s="151"/>
      <c r="O228" s="153"/>
      <c r="P228" s="151"/>
      <c r="Q228" s="153"/>
      <c r="R228" s="151">
        <v>1200</v>
      </c>
      <c r="S228" s="153">
        <v>1140</v>
      </c>
      <c r="T228" s="151"/>
      <c r="U228" s="153"/>
      <c r="V228" s="151">
        <v>4150</v>
      </c>
      <c r="W228" s="153">
        <v>3500</v>
      </c>
      <c r="X228" s="151"/>
      <c r="Y228" s="153"/>
      <c r="Z228" s="61">
        <f t="shared" si="36"/>
        <v>5350</v>
      </c>
      <c r="AA228" s="75">
        <f t="shared" si="36"/>
        <v>4640</v>
      </c>
      <c r="AB228" s="151"/>
      <c r="AC228" s="153"/>
      <c r="AD228" s="151"/>
      <c r="AE228" s="153"/>
      <c r="AF228" s="151"/>
      <c r="AG228" s="153"/>
      <c r="AH228" s="151"/>
      <c r="AI228" s="153"/>
      <c r="AJ228" s="151"/>
      <c r="AK228" s="153"/>
      <c r="AL228" s="151"/>
      <c r="AM228" s="153"/>
      <c r="AN228" s="151"/>
      <c r="AO228" s="153"/>
      <c r="AP228" s="61">
        <f t="shared" si="37"/>
        <v>5350</v>
      </c>
      <c r="AQ228" s="75">
        <f t="shared" si="37"/>
        <v>4640</v>
      </c>
      <c r="AR228" s="150" t="s">
        <v>128</v>
      </c>
      <c r="AS228" s="21">
        <f t="shared" si="32"/>
        <v>-710</v>
      </c>
      <c r="AT228" s="21">
        <f t="shared" si="33"/>
        <v>0</v>
      </c>
      <c r="AU228" s="21">
        <f t="shared" si="34"/>
        <v>-710</v>
      </c>
    </row>
    <row r="229" spans="1:47" x14ac:dyDescent="0.25">
      <c r="A229" s="4" t="s">
        <v>214</v>
      </c>
      <c r="B229" s="4" t="s">
        <v>146</v>
      </c>
      <c r="C229" s="5" t="s">
        <v>79</v>
      </c>
      <c r="D229" s="151">
        <v>4214</v>
      </c>
      <c r="E229" s="153">
        <v>4405</v>
      </c>
      <c r="F229" s="151"/>
      <c r="G229" s="153"/>
      <c r="H229" s="151"/>
      <c r="I229" s="153"/>
      <c r="J229" s="151"/>
      <c r="K229" s="153"/>
      <c r="L229" s="151"/>
      <c r="M229" s="153"/>
      <c r="N229" s="151"/>
      <c r="O229" s="153"/>
      <c r="P229" s="151"/>
      <c r="Q229" s="153"/>
      <c r="R229" s="151"/>
      <c r="S229" s="153"/>
      <c r="T229" s="151"/>
      <c r="U229" s="153"/>
      <c r="V229" s="151"/>
      <c r="W229" s="153"/>
      <c r="X229" s="151"/>
      <c r="Y229" s="153"/>
      <c r="Z229" s="61">
        <f t="shared" si="36"/>
        <v>4214</v>
      </c>
      <c r="AA229" s="75">
        <f t="shared" si="36"/>
        <v>4405</v>
      </c>
      <c r="AB229" s="151"/>
      <c r="AC229" s="153"/>
      <c r="AD229" s="151">
        <v>500</v>
      </c>
      <c r="AE229" s="153">
        <v>500</v>
      </c>
      <c r="AF229" s="151">
        <v>500</v>
      </c>
      <c r="AG229" s="153">
        <v>500</v>
      </c>
      <c r="AH229" s="151"/>
      <c r="AI229" s="153"/>
      <c r="AJ229" s="151"/>
      <c r="AK229" s="153"/>
      <c r="AL229" s="151"/>
      <c r="AM229" s="153"/>
      <c r="AN229" s="151"/>
      <c r="AO229" s="153"/>
      <c r="AP229" s="61">
        <f t="shared" si="37"/>
        <v>5214</v>
      </c>
      <c r="AQ229" s="75">
        <f t="shared" si="37"/>
        <v>5405</v>
      </c>
      <c r="AR229" s="150" t="s">
        <v>128</v>
      </c>
      <c r="AS229" s="21">
        <f t="shared" si="32"/>
        <v>191</v>
      </c>
      <c r="AT229" s="21">
        <f t="shared" si="33"/>
        <v>191</v>
      </c>
      <c r="AU229" s="21">
        <f t="shared" si="34"/>
        <v>0</v>
      </c>
    </row>
    <row r="230" spans="1:47" ht="30" x14ac:dyDescent="0.25">
      <c r="A230" s="4" t="s">
        <v>214</v>
      </c>
      <c r="B230" s="4" t="s">
        <v>224</v>
      </c>
      <c r="C230" s="5" t="s">
        <v>104</v>
      </c>
      <c r="D230" s="151"/>
      <c r="E230" s="153"/>
      <c r="F230" s="151">
        <v>0</v>
      </c>
      <c r="G230" s="153"/>
      <c r="H230" s="151"/>
      <c r="I230" s="153"/>
      <c r="J230" s="151"/>
      <c r="K230" s="153"/>
      <c r="L230" s="151"/>
      <c r="M230" s="153"/>
      <c r="N230" s="151"/>
      <c r="O230" s="153"/>
      <c r="P230" s="151"/>
      <c r="Q230" s="153"/>
      <c r="R230" s="151">
        <v>220</v>
      </c>
      <c r="S230" s="153">
        <v>210</v>
      </c>
      <c r="T230" s="151"/>
      <c r="U230" s="153"/>
      <c r="V230" s="151"/>
      <c r="W230" s="153"/>
      <c r="X230" s="151"/>
      <c r="Y230" s="153"/>
      <c r="Z230" s="61">
        <f t="shared" si="36"/>
        <v>220</v>
      </c>
      <c r="AA230" s="75">
        <f t="shared" si="36"/>
        <v>210</v>
      </c>
      <c r="AB230" s="151"/>
      <c r="AC230" s="153"/>
      <c r="AD230" s="151"/>
      <c r="AE230" s="153"/>
      <c r="AF230" s="151">
        <v>320</v>
      </c>
      <c r="AG230" s="153">
        <v>320</v>
      </c>
      <c r="AH230" s="151"/>
      <c r="AI230" s="153"/>
      <c r="AJ230" s="151"/>
      <c r="AK230" s="153"/>
      <c r="AL230" s="151"/>
      <c r="AM230" s="153"/>
      <c r="AN230" s="151"/>
      <c r="AO230" s="153"/>
      <c r="AP230" s="61">
        <f t="shared" si="37"/>
        <v>540</v>
      </c>
      <c r="AQ230" s="75">
        <f t="shared" si="37"/>
        <v>530</v>
      </c>
      <c r="AR230" s="150" t="s">
        <v>102</v>
      </c>
      <c r="AS230" s="21">
        <f t="shared" si="32"/>
        <v>-10</v>
      </c>
      <c r="AT230" s="21">
        <f t="shared" si="33"/>
        <v>0</v>
      </c>
      <c r="AU230" s="21">
        <f t="shared" si="34"/>
        <v>-10</v>
      </c>
    </row>
    <row r="231" spans="1:47" ht="28.5" customHeight="1" x14ac:dyDescent="0.25">
      <c r="A231" s="4" t="s">
        <v>214</v>
      </c>
      <c r="B231" s="4" t="s">
        <v>225</v>
      </c>
      <c r="C231" s="7" t="s">
        <v>104</v>
      </c>
      <c r="D231" s="151"/>
      <c r="E231" s="153"/>
      <c r="F231" s="151"/>
      <c r="G231" s="153"/>
      <c r="H231" s="151"/>
      <c r="I231" s="97"/>
      <c r="J231" s="151"/>
      <c r="K231" s="97"/>
      <c r="L231" s="151"/>
      <c r="M231" s="97"/>
      <c r="N231" s="151"/>
      <c r="O231" s="97"/>
      <c r="P231" s="151"/>
      <c r="Q231" s="153"/>
      <c r="R231" s="151"/>
      <c r="S231" s="153"/>
      <c r="T231" s="151"/>
      <c r="U231" s="153"/>
      <c r="V231" s="151"/>
      <c r="W231" s="153"/>
      <c r="X231" s="151"/>
      <c r="Y231" s="153"/>
      <c r="Z231" s="61">
        <f t="shared" si="36"/>
        <v>0</v>
      </c>
      <c r="AA231" s="75">
        <f t="shared" si="36"/>
        <v>0</v>
      </c>
      <c r="AB231" s="151"/>
      <c r="AC231" s="153"/>
      <c r="AD231" s="151"/>
      <c r="AE231" s="153">
        <v>5000</v>
      </c>
      <c r="AF231" s="151"/>
      <c r="AG231" s="153"/>
      <c r="AH231" s="151"/>
      <c r="AI231" s="153"/>
      <c r="AJ231" s="151"/>
      <c r="AK231" s="153"/>
      <c r="AL231" s="151"/>
      <c r="AM231" s="153"/>
      <c r="AN231" s="151"/>
      <c r="AO231" s="153"/>
      <c r="AP231" s="61">
        <f t="shared" si="37"/>
        <v>0</v>
      </c>
      <c r="AQ231" s="75">
        <f t="shared" si="37"/>
        <v>5000</v>
      </c>
      <c r="AR231" s="150"/>
      <c r="AS231" s="21">
        <f t="shared" si="32"/>
        <v>5000</v>
      </c>
      <c r="AT231" s="21">
        <f t="shared" si="33"/>
        <v>0</v>
      </c>
      <c r="AU231" s="21">
        <f t="shared" si="34"/>
        <v>5000</v>
      </c>
    </row>
    <row r="232" spans="1:47" ht="30" x14ac:dyDescent="0.25">
      <c r="A232" s="4" t="s">
        <v>214</v>
      </c>
      <c r="B232" s="4" t="s">
        <v>100</v>
      </c>
      <c r="C232" s="5" t="s">
        <v>101</v>
      </c>
      <c r="D232" s="151"/>
      <c r="E232" s="153"/>
      <c r="F232" s="151"/>
      <c r="G232" s="153"/>
      <c r="H232" s="151"/>
      <c r="I232" s="97"/>
      <c r="J232" s="151"/>
      <c r="K232" s="97"/>
      <c r="L232" s="151"/>
      <c r="M232" s="97"/>
      <c r="N232" s="151"/>
      <c r="O232" s="97"/>
      <c r="P232" s="151"/>
      <c r="Q232" s="73"/>
      <c r="R232" s="151"/>
      <c r="S232" s="153"/>
      <c r="T232" s="151"/>
      <c r="U232" s="153"/>
      <c r="V232" s="151"/>
      <c r="W232" s="153"/>
      <c r="X232" s="151"/>
      <c r="Y232" s="153"/>
      <c r="Z232" s="61">
        <f t="shared" si="36"/>
        <v>0</v>
      </c>
      <c r="AA232" s="75">
        <f t="shared" si="36"/>
        <v>0</v>
      </c>
      <c r="AB232" s="151"/>
      <c r="AC232" s="153"/>
      <c r="AD232" s="151"/>
      <c r="AE232" s="153"/>
      <c r="AF232" s="151"/>
      <c r="AG232" s="97"/>
      <c r="AH232" s="151"/>
      <c r="AI232" s="97"/>
      <c r="AJ232" s="151"/>
      <c r="AK232" s="153"/>
      <c r="AL232" s="151">
        <v>17161</v>
      </c>
      <c r="AM232" s="153">
        <v>17161</v>
      </c>
      <c r="AN232" s="151"/>
      <c r="AO232" s="153"/>
      <c r="AP232" s="61">
        <f t="shared" si="37"/>
        <v>17161</v>
      </c>
      <c r="AQ232" s="75">
        <f t="shared" si="37"/>
        <v>17161</v>
      </c>
      <c r="AR232" s="150" t="s">
        <v>102</v>
      </c>
      <c r="AS232" s="21">
        <f t="shared" si="32"/>
        <v>0</v>
      </c>
      <c r="AT232" s="21">
        <f t="shared" si="33"/>
        <v>0</v>
      </c>
      <c r="AU232" s="21">
        <f t="shared" si="34"/>
        <v>0</v>
      </c>
    </row>
    <row r="233" spans="1:47" x14ac:dyDescent="0.25">
      <c r="A233" s="4" t="s">
        <v>214</v>
      </c>
      <c r="B233" s="4" t="s">
        <v>105</v>
      </c>
      <c r="C233" s="5"/>
      <c r="D233" s="151">
        <v>7876</v>
      </c>
      <c r="E233" s="153">
        <v>8486</v>
      </c>
      <c r="F233" s="151"/>
      <c r="G233" s="153"/>
      <c r="H233" s="151"/>
      <c r="I233" s="153"/>
      <c r="J233" s="151"/>
      <c r="K233" s="153"/>
      <c r="L233" s="151"/>
      <c r="M233" s="153"/>
      <c r="N233" s="151"/>
      <c r="O233" s="153"/>
      <c r="P233" s="151"/>
      <c r="Q233" s="153"/>
      <c r="R233" s="151"/>
      <c r="S233" s="153"/>
      <c r="T233" s="151"/>
      <c r="U233" s="153"/>
      <c r="V233" s="151"/>
      <c r="W233" s="153"/>
      <c r="X233" s="151"/>
      <c r="Y233" s="153"/>
      <c r="Z233" s="61">
        <f t="shared" si="36"/>
        <v>7876</v>
      </c>
      <c r="AA233" s="75">
        <f t="shared" si="36"/>
        <v>8486</v>
      </c>
      <c r="AB233" s="151"/>
      <c r="AC233" s="153"/>
      <c r="AD233" s="151"/>
      <c r="AE233" s="153"/>
      <c r="AF233" s="151"/>
      <c r="AG233" s="153"/>
      <c r="AH233" s="151"/>
      <c r="AI233" s="153"/>
      <c r="AJ233" s="151"/>
      <c r="AK233" s="153"/>
      <c r="AL233" s="151"/>
      <c r="AM233" s="153"/>
      <c r="AN233" s="151"/>
      <c r="AO233" s="153"/>
      <c r="AP233" s="61">
        <f t="shared" si="37"/>
        <v>7876</v>
      </c>
      <c r="AQ233" s="75">
        <f t="shared" si="37"/>
        <v>8486</v>
      </c>
      <c r="AR233" s="150" t="s">
        <v>58</v>
      </c>
      <c r="AS233" s="21">
        <f t="shared" si="32"/>
        <v>610</v>
      </c>
      <c r="AT233" s="21">
        <f t="shared" si="33"/>
        <v>610</v>
      </c>
      <c r="AU233" s="21">
        <f t="shared" si="34"/>
        <v>0</v>
      </c>
    </row>
    <row r="234" spans="1:47" x14ac:dyDescent="0.25">
      <c r="A234" s="4" t="s">
        <v>214</v>
      </c>
      <c r="B234" s="4" t="s">
        <v>106</v>
      </c>
      <c r="C234" s="5"/>
      <c r="D234" s="151">
        <v>8660</v>
      </c>
      <c r="E234" s="153">
        <v>8839</v>
      </c>
      <c r="F234" s="151"/>
      <c r="G234" s="153"/>
      <c r="H234" s="151"/>
      <c r="I234" s="153"/>
      <c r="J234" s="151"/>
      <c r="K234" s="153"/>
      <c r="L234" s="151"/>
      <c r="M234" s="153"/>
      <c r="N234" s="151"/>
      <c r="O234" s="153"/>
      <c r="P234" s="151"/>
      <c r="Q234" s="153"/>
      <c r="R234" s="151"/>
      <c r="S234" s="153"/>
      <c r="T234" s="151"/>
      <c r="U234" s="153"/>
      <c r="V234" s="151"/>
      <c r="W234" s="153"/>
      <c r="X234" s="151"/>
      <c r="Y234" s="153"/>
      <c r="Z234" s="61">
        <f t="shared" si="36"/>
        <v>8660</v>
      </c>
      <c r="AA234" s="75">
        <f t="shared" si="36"/>
        <v>8839</v>
      </c>
      <c r="AB234" s="151"/>
      <c r="AC234" s="153"/>
      <c r="AD234" s="151"/>
      <c r="AE234" s="153"/>
      <c r="AF234" s="151"/>
      <c r="AG234" s="153"/>
      <c r="AH234" s="151"/>
      <c r="AI234" s="153"/>
      <c r="AJ234" s="151"/>
      <c r="AK234" s="153"/>
      <c r="AL234" s="151"/>
      <c r="AM234" s="153"/>
      <c r="AN234" s="151"/>
      <c r="AO234" s="153"/>
      <c r="AP234" s="61">
        <f t="shared" si="37"/>
        <v>8660</v>
      </c>
      <c r="AQ234" s="75">
        <f t="shared" si="37"/>
        <v>8839</v>
      </c>
      <c r="AR234" s="150" t="s">
        <v>58</v>
      </c>
      <c r="AS234" s="21">
        <f t="shared" si="32"/>
        <v>179</v>
      </c>
      <c r="AT234" s="21">
        <f t="shared" si="33"/>
        <v>179</v>
      </c>
      <c r="AU234" s="21">
        <f t="shared" si="34"/>
        <v>0</v>
      </c>
    </row>
    <row r="235" spans="1:47" x14ac:dyDescent="0.25">
      <c r="A235" s="16" t="s">
        <v>226</v>
      </c>
      <c r="B235" s="16" t="s">
        <v>108</v>
      </c>
      <c r="C235" s="17"/>
      <c r="D235" s="18">
        <f t="shared" ref="D235:AP235" si="38">SUM(D212:D234)</f>
        <v>438235</v>
      </c>
      <c r="E235" s="105">
        <f t="shared" si="38"/>
        <v>465889</v>
      </c>
      <c r="F235" s="18">
        <f t="shared" si="38"/>
        <v>3311</v>
      </c>
      <c r="G235" s="18">
        <f t="shared" si="38"/>
        <v>3286</v>
      </c>
      <c r="H235" s="18">
        <f t="shared" si="38"/>
        <v>21641</v>
      </c>
      <c r="I235" s="18">
        <f t="shared" si="38"/>
        <v>31911</v>
      </c>
      <c r="J235" s="18">
        <f t="shared" si="38"/>
        <v>8910</v>
      </c>
      <c r="K235" s="18">
        <f t="shared" si="38"/>
        <v>8175</v>
      </c>
      <c r="L235" s="18">
        <f t="shared" si="38"/>
        <v>28120</v>
      </c>
      <c r="M235" s="18">
        <f t="shared" si="38"/>
        <v>23310</v>
      </c>
      <c r="N235" s="18">
        <f t="shared" si="38"/>
        <v>3118</v>
      </c>
      <c r="O235" s="18">
        <f t="shared" si="38"/>
        <v>3058</v>
      </c>
      <c r="P235" s="18">
        <f t="shared" si="38"/>
        <v>8691</v>
      </c>
      <c r="Q235" s="18">
        <f t="shared" si="38"/>
        <v>4275</v>
      </c>
      <c r="R235" s="18">
        <f t="shared" si="38"/>
        <v>10960</v>
      </c>
      <c r="S235" s="18">
        <f t="shared" si="38"/>
        <v>9857</v>
      </c>
      <c r="T235" s="18">
        <f t="shared" si="38"/>
        <v>44261</v>
      </c>
      <c r="U235" s="18">
        <f t="shared" si="38"/>
        <v>50079</v>
      </c>
      <c r="V235" s="18">
        <f t="shared" si="38"/>
        <v>4150</v>
      </c>
      <c r="W235" s="18">
        <f t="shared" si="38"/>
        <v>3500</v>
      </c>
      <c r="X235" s="18">
        <f t="shared" si="38"/>
        <v>0</v>
      </c>
      <c r="Y235" s="18">
        <f t="shared" si="38"/>
        <v>0</v>
      </c>
      <c r="Z235" s="18">
        <f t="shared" si="38"/>
        <v>571397</v>
      </c>
      <c r="AA235" s="18">
        <f t="shared" si="38"/>
        <v>603340</v>
      </c>
      <c r="AB235" s="18">
        <f t="shared" si="38"/>
        <v>150</v>
      </c>
      <c r="AC235" s="18">
        <f t="shared" si="38"/>
        <v>0</v>
      </c>
      <c r="AD235" s="18">
        <f t="shared" si="38"/>
        <v>45039</v>
      </c>
      <c r="AE235" s="18">
        <f t="shared" si="38"/>
        <v>44012</v>
      </c>
      <c r="AF235" s="18">
        <f t="shared" si="38"/>
        <v>53175</v>
      </c>
      <c r="AG235" s="18">
        <f t="shared" si="38"/>
        <v>54745</v>
      </c>
      <c r="AH235" s="18">
        <f t="shared" si="38"/>
        <v>1796</v>
      </c>
      <c r="AI235" s="18">
        <f t="shared" si="38"/>
        <v>1802</v>
      </c>
      <c r="AJ235" s="18">
        <f t="shared" si="38"/>
        <v>0</v>
      </c>
      <c r="AK235" s="18">
        <f t="shared" si="38"/>
        <v>0</v>
      </c>
      <c r="AL235" s="18">
        <f t="shared" si="38"/>
        <v>17161</v>
      </c>
      <c r="AM235" s="18">
        <f t="shared" si="38"/>
        <v>17161</v>
      </c>
      <c r="AN235" s="18">
        <f t="shared" si="38"/>
        <v>270</v>
      </c>
      <c r="AO235" s="18">
        <f t="shared" si="38"/>
        <v>394</v>
      </c>
      <c r="AP235" s="18">
        <f t="shared" si="38"/>
        <v>688988</v>
      </c>
      <c r="AQ235" s="75">
        <f t="shared" ref="AQ235:AQ276" si="39">AA235+AC235+AE235+AG235+AI235+AK235+AM235+AO235</f>
        <v>721454</v>
      </c>
      <c r="AR235" s="150"/>
      <c r="AS235" s="156">
        <f t="shared" si="32"/>
        <v>32466</v>
      </c>
      <c r="AT235" s="156">
        <f t="shared" si="33"/>
        <v>27654</v>
      </c>
      <c r="AU235" s="156">
        <f t="shared" si="34"/>
        <v>4812</v>
      </c>
    </row>
    <row r="236" spans="1:47" x14ac:dyDescent="0.25">
      <c r="A236" s="4" t="s">
        <v>227</v>
      </c>
      <c r="B236" s="4" t="s">
        <v>125</v>
      </c>
      <c r="C236" s="5" t="s">
        <v>57</v>
      </c>
      <c r="D236" s="151">
        <v>27711</v>
      </c>
      <c r="E236" s="153">
        <v>24056</v>
      </c>
      <c r="F236" s="151">
        <v>750</v>
      </c>
      <c r="G236" s="153">
        <v>700</v>
      </c>
      <c r="H236" s="151"/>
      <c r="I236" s="153"/>
      <c r="J236" s="151">
        <v>100</v>
      </c>
      <c r="K236" s="153">
        <v>205</v>
      </c>
      <c r="L236" s="151">
        <v>1800</v>
      </c>
      <c r="M236" s="153">
        <v>1800</v>
      </c>
      <c r="N236" s="151">
        <v>120</v>
      </c>
      <c r="O236" s="153">
        <v>120</v>
      </c>
      <c r="P236" s="151">
        <v>4000</v>
      </c>
      <c r="Q236" s="153">
        <v>3000</v>
      </c>
      <c r="R236" s="151">
        <v>3000</v>
      </c>
      <c r="S236" s="153">
        <v>1200</v>
      </c>
      <c r="T236" s="151"/>
      <c r="U236" s="153"/>
      <c r="V236" s="151"/>
      <c r="W236" s="153"/>
      <c r="X236" s="151"/>
      <c r="Y236" s="153"/>
      <c r="Z236" s="61">
        <f t="shared" ref="Z236:AA251" si="40">D236+F236+H236+J236+L236+P236+R236+T236+V236+X236+N236</f>
        <v>37481</v>
      </c>
      <c r="AA236" s="75">
        <f t="shared" si="40"/>
        <v>31081</v>
      </c>
      <c r="AB236" s="151">
        <v>25</v>
      </c>
      <c r="AC236" s="153"/>
      <c r="AD236" s="151">
        <v>7800</v>
      </c>
      <c r="AE236" s="153">
        <v>7410</v>
      </c>
      <c r="AF236" s="151">
        <v>4000</v>
      </c>
      <c r="AG236" s="153">
        <v>3600</v>
      </c>
      <c r="AH236" s="151">
        <v>200</v>
      </c>
      <c r="AI236" s="153">
        <v>120</v>
      </c>
      <c r="AJ236" s="151"/>
      <c r="AK236" s="153"/>
      <c r="AL236" s="151"/>
      <c r="AM236" s="153"/>
      <c r="AN236" s="151"/>
      <c r="AO236" s="153"/>
      <c r="AP236" s="61">
        <f t="shared" ref="AP236:AP251" si="41">Z236+AB236+AD236+AF236+AH236+AJ236+AL236+AN236</f>
        <v>49506</v>
      </c>
      <c r="AQ236" s="75">
        <f t="shared" si="39"/>
        <v>42211</v>
      </c>
      <c r="AR236" s="150" t="s">
        <v>58</v>
      </c>
      <c r="AS236" s="21">
        <f t="shared" si="32"/>
        <v>-7295</v>
      </c>
      <c r="AT236" s="21">
        <f t="shared" si="33"/>
        <v>-3655</v>
      </c>
      <c r="AU236" s="21">
        <f t="shared" si="34"/>
        <v>-3640</v>
      </c>
    </row>
    <row r="237" spans="1:47" x14ac:dyDescent="0.25">
      <c r="A237" s="4" t="s">
        <v>227</v>
      </c>
      <c r="B237" s="4" t="s">
        <v>126</v>
      </c>
      <c r="C237" s="5" t="s">
        <v>73</v>
      </c>
      <c r="D237" s="151">
        <v>7445</v>
      </c>
      <c r="E237" s="153">
        <v>8083</v>
      </c>
      <c r="F237" s="151">
        <v>150</v>
      </c>
      <c r="G237" s="153">
        <v>200</v>
      </c>
      <c r="H237" s="151"/>
      <c r="I237" s="153"/>
      <c r="J237" s="151">
        <v>35</v>
      </c>
      <c r="K237" s="153">
        <v>35</v>
      </c>
      <c r="L237" s="151">
        <v>860</v>
      </c>
      <c r="M237" s="153">
        <v>860</v>
      </c>
      <c r="N237" s="151">
        <v>80</v>
      </c>
      <c r="O237" s="153">
        <v>80</v>
      </c>
      <c r="P237" s="151">
        <v>650</v>
      </c>
      <c r="Q237" s="153">
        <v>650</v>
      </c>
      <c r="R237" s="151"/>
      <c r="S237" s="153"/>
      <c r="T237" s="151"/>
      <c r="U237" s="153"/>
      <c r="V237" s="151"/>
      <c r="W237" s="153"/>
      <c r="X237" s="151"/>
      <c r="Y237" s="153"/>
      <c r="Z237" s="61">
        <f t="shared" si="40"/>
        <v>9220</v>
      </c>
      <c r="AA237" s="75">
        <f t="shared" si="40"/>
        <v>9908</v>
      </c>
      <c r="AB237" s="151">
        <v>25</v>
      </c>
      <c r="AC237" s="153">
        <v>30</v>
      </c>
      <c r="AD237" s="151">
        <v>600</v>
      </c>
      <c r="AE237" s="153">
        <v>570</v>
      </c>
      <c r="AF237" s="151">
        <v>1366</v>
      </c>
      <c r="AG237" s="153">
        <v>1298</v>
      </c>
      <c r="AH237" s="151">
        <v>1346</v>
      </c>
      <c r="AI237" s="153">
        <v>1316</v>
      </c>
      <c r="AJ237" s="151"/>
      <c r="AK237" s="153"/>
      <c r="AL237" s="151"/>
      <c r="AM237" s="153"/>
      <c r="AN237" s="151"/>
      <c r="AO237" s="153"/>
      <c r="AP237" s="61">
        <f t="shared" si="41"/>
        <v>12557</v>
      </c>
      <c r="AQ237" s="75">
        <f t="shared" si="39"/>
        <v>13122</v>
      </c>
      <c r="AR237" s="150" t="s">
        <v>74</v>
      </c>
      <c r="AS237" s="21">
        <f t="shared" si="32"/>
        <v>565</v>
      </c>
      <c r="AT237" s="21">
        <f t="shared" si="33"/>
        <v>638</v>
      </c>
      <c r="AU237" s="21">
        <f t="shared" si="34"/>
        <v>-73</v>
      </c>
    </row>
    <row r="238" spans="1:47" x14ac:dyDescent="0.25">
      <c r="A238" s="4" t="s">
        <v>227</v>
      </c>
      <c r="B238" s="4" t="s">
        <v>77</v>
      </c>
      <c r="C238" s="5" t="s">
        <v>73</v>
      </c>
      <c r="D238" s="151">
        <v>22634</v>
      </c>
      <c r="E238" s="153">
        <v>22750</v>
      </c>
      <c r="F238" s="151">
        <v>380</v>
      </c>
      <c r="G238" s="153">
        <v>380</v>
      </c>
      <c r="H238" s="151"/>
      <c r="I238" s="153"/>
      <c r="J238" s="151">
        <v>60</v>
      </c>
      <c r="K238" s="153">
        <v>85</v>
      </c>
      <c r="L238" s="151">
        <v>2000</v>
      </c>
      <c r="M238" s="153">
        <v>2778</v>
      </c>
      <c r="N238" s="151">
        <v>200</v>
      </c>
      <c r="O238" s="153">
        <v>200</v>
      </c>
      <c r="P238" s="151">
        <v>2400</v>
      </c>
      <c r="Q238" s="153">
        <v>2400</v>
      </c>
      <c r="R238" s="151">
        <v>2560</v>
      </c>
      <c r="S238" s="153">
        <v>2500</v>
      </c>
      <c r="T238" s="151"/>
      <c r="U238" s="153"/>
      <c r="V238" s="151"/>
      <c r="W238" s="153"/>
      <c r="X238" s="151"/>
      <c r="Y238" s="153"/>
      <c r="Z238" s="61">
        <f t="shared" si="40"/>
        <v>30234</v>
      </c>
      <c r="AA238" s="75">
        <f t="shared" si="40"/>
        <v>31093</v>
      </c>
      <c r="AB238" s="151">
        <v>30</v>
      </c>
      <c r="AC238" s="153">
        <v>100</v>
      </c>
      <c r="AD238" s="151">
        <v>5000</v>
      </c>
      <c r="AE238" s="153">
        <v>4750</v>
      </c>
      <c r="AF238" s="151">
        <v>5000</v>
      </c>
      <c r="AG238" s="153">
        <v>4750</v>
      </c>
      <c r="AH238" s="151"/>
      <c r="AI238" s="153"/>
      <c r="AJ238" s="151"/>
      <c r="AK238" s="153"/>
      <c r="AL238" s="151"/>
      <c r="AM238" s="153"/>
      <c r="AN238" s="151"/>
      <c r="AO238" s="153"/>
      <c r="AP238" s="61">
        <f t="shared" si="41"/>
        <v>40264</v>
      </c>
      <c r="AQ238" s="75">
        <f t="shared" si="39"/>
        <v>40693</v>
      </c>
      <c r="AR238" s="150" t="s">
        <v>74</v>
      </c>
      <c r="AS238" s="21">
        <f t="shared" si="32"/>
        <v>429</v>
      </c>
      <c r="AT238" s="21">
        <f t="shared" si="33"/>
        <v>116</v>
      </c>
      <c r="AU238" s="21">
        <f t="shared" si="34"/>
        <v>313</v>
      </c>
    </row>
    <row r="239" spans="1:47" x14ac:dyDescent="0.25">
      <c r="A239" s="4" t="s">
        <v>227</v>
      </c>
      <c r="B239" s="4" t="s">
        <v>69</v>
      </c>
      <c r="C239" s="5" t="s">
        <v>70</v>
      </c>
      <c r="D239" s="151">
        <v>3142</v>
      </c>
      <c r="E239" s="153">
        <v>3278</v>
      </c>
      <c r="F239" s="151"/>
      <c r="G239" s="153"/>
      <c r="H239" s="151"/>
      <c r="I239" s="153"/>
      <c r="J239" s="151">
        <v>350</v>
      </c>
      <c r="K239" s="153">
        <v>300</v>
      </c>
      <c r="L239" s="151">
        <v>140</v>
      </c>
      <c r="M239" s="153">
        <v>140</v>
      </c>
      <c r="N239" s="151">
        <v>30</v>
      </c>
      <c r="O239" s="153">
        <v>30</v>
      </c>
      <c r="P239" s="151"/>
      <c r="Q239" s="153"/>
      <c r="R239" s="151">
        <v>1610</v>
      </c>
      <c r="S239" s="153">
        <v>1200</v>
      </c>
      <c r="T239" s="151"/>
      <c r="U239" s="153"/>
      <c r="V239" s="151"/>
      <c r="W239" s="153"/>
      <c r="X239" s="151"/>
      <c r="Y239" s="153"/>
      <c r="Z239" s="61">
        <f t="shared" si="40"/>
        <v>5272</v>
      </c>
      <c r="AA239" s="75">
        <f t="shared" si="40"/>
        <v>4948</v>
      </c>
      <c r="AB239" s="151">
        <v>20</v>
      </c>
      <c r="AC239" s="153"/>
      <c r="AD239" s="151">
        <v>300</v>
      </c>
      <c r="AE239" s="153">
        <v>300</v>
      </c>
      <c r="AF239" s="151">
        <v>2023</v>
      </c>
      <c r="AG239" s="153">
        <v>2023</v>
      </c>
      <c r="AH239" s="151"/>
      <c r="AI239" s="153"/>
      <c r="AJ239" s="151"/>
      <c r="AK239" s="153"/>
      <c r="AL239" s="151"/>
      <c r="AM239" s="153"/>
      <c r="AN239" s="151"/>
      <c r="AO239" s="153"/>
      <c r="AP239" s="61">
        <f t="shared" si="41"/>
        <v>7615</v>
      </c>
      <c r="AQ239" s="75">
        <f t="shared" si="39"/>
        <v>7271</v>
      </c>
      <c r="AR239" s="150" t="s">
        <v>71</v>
      </c>
      <c r="AS239" s="21">
        <f t="shared" si="32"/>
        <v>-344</v>
      </c>
      <c r="AT239" s="21">
        <f t="shared" si="33"/>
        <v>136</v>
      </c>
      <c r="AU239" s="21">
        <f t="shared" si="34"/>
        <v>-480</v>
      </c>
    </row>
    <row r="240" spans="1:47" x14ac:dyDescent="0.25">
      <c r="A240" s="4" t="s">
        <v>227</v>
      </c>
      <c r="B240" s="4" t="s">
        <v>146</v>
      </c>
      <c r="C240" s="5" t="s">
        <v>79</v>
      </c>
      <c r="D240" s="151">
        <v>3306</v>
      </c>
      <c r="E240" s="153">
        <v>3708</v>
      </c>
      <c r="F240" s="151"/>
      <c r="G240" s="153"/>
      <c r="H240" s="151"/>
      <c r="I240" s="153"/>
      <c r="J240" s="151">
        <v>200</v>
      </c>
      <c r="K240" s="153">
        <v>120</v>
      </c>
      <c r="L240" s="151">
        <v>200</v>
      </c>
      <c r="M240" s="153">
        <v>250</v>
      </c>
      <c r="N240" s="151">
        <v>35</v>
      </c>
      <c r="O240" s="153">
        <v>35</v>
      </c>
      <c r="P240" s="151"/>
      <c r="Q240" s="153"/>
      <c r="R240" s="151"/>
      <c r="S240" s="153">
        <v>300</v>
      </c>
      <c r="T240" s="151"/>
      <c r="U240" s="153"/>
      <c r="V240" s="151"/>
      <c r="W240" s="153"/>
      <c r="X240" s="151"/>
      <c r="Y240" s="153"/>
      <c r="Z240" s="61">
        <f t="shared" si="40"/>
        <v>3741</v>
      </c>
      <c r="AA240" s="75">
        <f t="shared" si="40"/>
        <v>4413</v>
      </c>
      <c r="AB240" s="151">
        <v>20</v>
      </c>
      <c r="AC240" s="153">
        <v>20</v>
      </c>
      <c r="AD240" s="151">
        <v>250</v>
      </c>
      <c r="AE240" s="153">
        <v>745</v>
      </c>
      <c r="AF240" s="151">
        <v>320</v>
      </c>
      <c r="AG240" s="153">
        <v>1833</v>
      </c>
      <c r="AH240" s="151"/>
      <c r="AI240" s="153"/>
      <c r="AJ240" s="151"/>
      <c r="AK240" s="153"/>
      <c r="AL240" s="151"/>
      <c r="AM240" s="153"/>
      <c r="AN240" s="151"/>
      <c r="AO240" s="153"/>
      <c r="AP240" s="61">
        <f t="shared" si="41"/>
        <v>4331</v>
      </c>
      <c r="AQ240" s="75">
        <f t="shared" si="39"/>
        <v>7011</v>
      </c>
      <c r="AR240" s="150" t="s">
        <v>74</v>
      </c>
      <c r="AS240" s="21">
        <f t="shared" si="32"/>
        <v>2680</v>
      </c>
      <c r="AT240" s="21">
        <f t="shared" si="33"/>
        <v>402</v>
      </c>
      <c r="AU240" s="21">
        <f t="shared" si="34"/>
        <v>2278</v>
      </c>
    </row>
    <row r="241" spans="1:47" x14ac:dyDescent="0.25">
      <c r="A241" s="4" t="s">
        <v>227</v>
      </c>
      <c r="B241" s="4" t="s">
        <v>131</v>
      </c>
      <c r="C241" s="5" t="s">
        <v>67</v>
      </c>
      <c r="D241" s="151">
        <v>13372</v>
      </c>
      <c r="E241" s="153">
        <v>13718</v>
      </c>
      <c r="F241" s="151">
        <v>510</v>
      </c>
      <c r="G241" s="153">
        <v>420</v>
      </c>
      <c r="H241" s="151"/>
      <c r="I241" s="153"/>
      <c r="J241" s="151">
        <v>300</v>
      </c>
      <c r="K241" s="153">
        <v>300</v>
      </c>
      <c r="L241" s="151">
        <v>850</v>
      </c>
      <c r="M241" s="153">
        <v>800</v>
      </c>
      <c r="N241" s="151">
        <v>85</v>
      </c>
      <c r="O241" s="153">
        <v>85</v>
      </c>
      <c r="P241" s="151">
        <v>250</v>
      </c>
      <c r="Q241" s="153">
        <v>250</v>
      </c>
      <c r="R241" s="151">
        <v>530</v>
      </c>
      <c r="S241" s="153">
        <v>530</v>
      </c>
      <c r="T241" s="151"/>
      <c r="U241" s="153"/>
      <c r="V241" s="151"/>
      <c r="W241" s="153"/>
      <c r="X241" s="151"/>
      <c r="Y241" s="153"/>
      <c r="Z241" s="61">
        <f t="shared" si="40"/>
        <v>15897</v>
      </c>
      <c r="AA241" s="75">
        <f t="shared" si="40"/>
        <v>16103</v>
      </c>
      <c r="AB241" s="151"/>
      <c r="AC241" s="153"/>
      <c r="AD241" s="151">
        <v>250</v>
      </c>
      <c r="AE241" s="153">
        <v>238</v>
      </c>
      <c r="AF241" s="151">
        <v>450</v>
      </c>
      <c r="AG241" s="153">
        <v>450</v>
      </c>
      <c r="AH241" s="151"/>
      <c r="AI241" s="153"/>
      <c r="AJ241" s="151"/>
      <c r="AK241" s="153"/>
      <c r="AL241" s="151"/>
      <c r="AM241" s="153"/>
      <c r="AN241" s="151"/>
      <c r="AO241" s="153"/>
      <c r="AP241" s="61">
        <f t="shared" si="41"/>
        <v>16597</v>
      </c>
      <c r="AQ241" s="75">
        <f t="shared" si="39"/>
        <v>16791</v>
      </c>
      <c r="AR241" s="150" t="s">
        <v>68</v>
      </c>
      <c r="AS241" s="21">
        <f t="shared" si="32"/>
        <v>194</v>
      </c>
      <c r="AT241" s="21">
        <f t="shared" si="33"/>
        <v>346</v>
      </c>
      <c r="AU241" s="21">
        <f t="shared" si="34"/>
        <v>-152</v>
      </c>
    </row>
    <row r="242" spans="1:47" ht="30" x14ac:dyDescent="0.25">
      <c r="A242" s="4" t="s">
        <v>227</v>
      </c>
      <c r="B242" s="4" t="s">
        <v>224</v>
      </c>
      <c r="C242" s="5" t="s">
        <v>104</v>
      </c>
      <c r="D242" s="151"/>
      <c r="E242" s="153"/>
      <c r="F242" s="151">
        <v>150</v>
      </c>
      <c r="G242" s="153">
        <v>150</v>
      </c>
      <c r="H242" s="151"/>
      <c r="I242" s="153"/>
      <c r="J242" s="151">
        <v>774</v>
      </c>
      <c r="K242" s="153">
        <v>774</v>
      </c>
      <c r="L242" s="151">
        <v>550</v>
      </c>
      <c r="M242" s="153">
        <v>550</v>
      </c>
      <c r="N242" s="151">
        <v>600</v>
      </c>
      <c r="O242" s="153">
        <v>600</v>
      </c>
      <c r="P242" s="151">
        <v>1200</v>
      </c>
      <c r="Q242" s="153">
        <v>3450</v>
      </c>
      <c r="R242" s="151">
        <v>1500</v>
      </c>
      <c r="S242" s="153">
        <v>1500</v>
      </c>
      <c r="T242" s="151"/>
      <c r="U242" s="153"/>
      <c r="V242" s="151"/>
      <c r="W242" s="153"/>
      <c r="X242" s="151"/>
      <c r="Y242" s="153"/>
      <c r="Z242" s="61">
        <f t="shared" si="40"/>
        <v>4774</v>
      </c>
      <c r="AA242" s="75">
        <f t="shared" si="40"/>
        <v>7024</v>
      </c>
      <c r="AB242" s="151"/>
      <c r="AC242" s="153"/>
      <c r="AD242" s="151">
        <v>800</v>
      </c>
      <c r="AE242" s="153">
        <v>760</v>
      </c>
      <c r="AF242" s="151">
        <v>230</v>
      </c>
      <c r="AG242" s="153">
        <v>218</v>
      </c>
      <c r="AH242" s="151"/>
      <c r="AI242" s="153"/>
      <c r="AJ242" s="151"/>
      <c r="AK242" s="153"/>
      <c r="AL242" s="151"/>
      <c r="AM242" s="153"/>
      <c r="AN242" s="151"/>
      <c r="AO242" s="153"/>
      <c r="AP242" s="61">
        <f t="shared" si="41"/>
        <v>5804</v>
      </c>
      <c r="AQ242" s="75">
        <f t="shared" si="39"/>
        <v>8002</v>
      </c>
      <c r="AR242" s="150" t="s">
        <v>102</v>
      </c>
      <c r="AS242" s="21">
        <f t="shared" si="32"/>
        <v>2198</v>
      </c>
      <c r="AT242" s="21">
        <f t="shared" si="33"/>
        <v>0</v>
      </c>
      <c r="AU242" s="21">
        <f t="shared" si="34"/>
        <v>2198</v>
      </c>
    </row>
    <row r="243" spans="1:47" ht="26.25" x14ac:dyDescent="0.25">
      <c r="A243" s="4" t="s">
        <v>227</v>
      </c>
      <c r="B243" s="4" t="s">
        <v>228</v>
      </c>
      <c r="C243" s="5" t="s">
        <v>165</v>
      </c>
      <c r="D243" s="151">
        <v>0</v>
      </c>
      <c r="E243" s="153"/>
      <c r="F243" s="151"/>
      <c r="G243" s="153"/>
      <c r="H243" s="151"/>
      <c r="I243" s="153"/>
      <c r="J243" s="151">
        <v>800</v>
      </c>
      <c r="K243" s="153">
        <v>800</v>
      </c>
      <c r="L243" s="151">
        <v>3000</v>
      </c>
      <c r="M243" s="153">
        <v>3000</v>
      </c>
      <c r="N243" s="151">
        <v>670</v>
      </c>
      <c r="O243" s="153">
        <v>670</v>
      </c>
      <c r="P243" s="151">
        <v>5000</v>
      </c>
      <c r="Q243" s="153">
        <v>3200</v>
      </c>
      <c r="R243" s="151"/>
      <c r="S243" s="153"/>
      <c r="T243" s="151"/>
      <c r="U243" s="153"/>
      <c r="V243" s="151"/>
      <c r="W243" s="153"/>
      <c r="X243" s="151"/>
      <c r="Y243" s="153"/>
      <c r="Z243" s="61">
        <f t="shared" si="40"/>
        <v>9470</v>
      </c>
      <c r="AA243" s="75">
        <f t="shared" si="40"/>
        <v>7670</v>
      </c>
      <c r="AB243" s="151"/>
      <c r="AC243" s="153"/>
      <c r="AD243" s="151">
        <v>1800</v>
      </c>
      <c r="AE243" s="153">
        <v>1710</v>
      </c>
      <c r="AF243" s="151">
        <v>4000</v>
      </c>
      <c r="AG243" s="153">
        <v>3800</v>
      </c>
      <c r="AH243" s="151"/>
      <c r="AI243" s="153"/>
      <c r="AJ243" s="151"/>
      <c r="AK243" s="153"/>
      <c r="AL243" s="151"/>
      <c r="AM243" s="153"/>
      <c r="AN243" s="151"/>
      <c r="AO243" s="153"/>
      <c r="AP243" s="61">
        <f t="shared" si="41"/>
        <v>15270</v>
      </c>
      <c r="AQ243" s="75">
        <f t="shared" si="39"/>
        <v>13180</v>
      </c>
      <c r="AR243" s="150" t="s">
        <v>167</v>
      </c>
      <c r="AS243" s="21">
        <f t="shared" si="32"/>
        <v>-2090</v>
      </c>
      <c r="AT243" s="21">
        <f t="shared" si="33"/>
        <v>0</v>
      </c>
      <c r="AU243" s="21">
        <f t="shared" si="34"/>
        <v>-2090</v>
      </c>
    </row>
    <row r="244" spans="1:47" x14ac:dyDescent="0.25">
      <c r="A244" s="4" t="s">
        <v>227</v>
      </c>
      <c r="B244" s="4" t="s">
        <v>90</v>
      </c>
      <c r="C244" s="5" t="s">
        <v>86</v>
      </c>
      <c r="D244" s="151"/>
      <c r="E244" s="153"/>
      <c r="F244" s="151"/>
      <c r="G244" s="153"/>
      <c r="H244" s="151"/>
      <c r="I244" s="153"/>
      <c r="J244" s="151"/>
      <c r="K244" s="153"/>
      <c r="L244" s="151"/>
      <c r="M244" s="153"/>
      <c r="N244" s="151"/>
      <c r="O244" s="153"/>
      <c r="P244" s="151"/>
      <c r="Q244" s="153"/>
      <c r="R244" s="151"/>
      <c r="S244" s="153"/>
      <c r="T244" s="151">
        <v>900</v>
      </c>
      <c r="U244" s="153">
        <v>900</v>
      </c>
      <c r="V244" s="151"/>
      <c r="W244" s="153"/>
      <c r="X244" s="151"/>
      <c r="Y244" s="153"/>
      <c r="Z244" s="61">
        <f t="shared" si="40"/>
        <v>900</v>
      </c>
      <c r="AA244" s="75">
        <f t="shared" si="40"/>
        <v>900</v>
      </c>
      <c r="AB244" s="151"/>
      <c r="AC244" s="153"/>
      <c r="AD244" s="151"/>
      <c r="AE244" s="153"/>
      <c r="AF244" s="151"/>
      <c r="AG244" s="153"/>
      <c r="AH244" s="151"/>
      <c r="AI244" s="153"/>
      <c r="AJ244" s="151"/>
      <c r="AK244" s="153"/>
      <c r="AL244" s="151"/>
      <c r="AM244" s="153"/>
      <c r="AN244" s="151"/>
      <c r="AO244" s="153"/>
      <c r="AP244" s="61">
        <f t="shared" si="41"/>
        <v>900</v>
      </c>
      <c r="AQ244" s="75">
        <f t="shared" si="39"/>
        <v>900</v>
      </c>
      <c r="AR244" s="150" t="s">
        <v>58</v>
      </c>
      <c r="AS244" s="21">
        <f t="shared" si="32"/>
        <v>0</v>
      </c>
      <c r="AT244" s="21">
        <f t="shared" si="33"/>
        <v>0</v>
      </c>
      <c r="AU244" s="21">
        <f t="shared" si="34"/>
        <v>0</v>
      </c>
    </row>
    <row r="245" spans="1:47" x14ac:dyDescent="0.25">
      <c r="A245" s="4" t="s">
        <v>227</v>
      </c>
      <c r="B245" s="4" t="s">
        <v>181</v>
      </c>
      <c r="C245" s="5" t="s">
        <v>82</v>
      </c>
      <c r="D245" s="151">
        <v>0</v>
      </c>
      <c r="E245" s="153"/>
      <c r="F245" s="151">
        <v>220</v>
      </c>
      <c r="G245" s="153">
        <v>220</v>
      </c>
      <c r="H245" s="151"/>
      <c r="I245" s="153"/>
      <c r="J245" s="151">
        <v>400</v>
      </c>
      <c r="K245" s="153">
        <v>400</v>
      </c>
      <c r="L245" s="151">
        <v>2800</v>
      </c>
      <c r="M245" s="153">
        <v>2800</v>
      </c>
      <c r="N245" s="151">
        <v>260</v>
      </c>
      <c r="O245" s="153">
        <v>260</v>
      </c>
      <c r="P245" s="151">
        <v>1500</v>
      </c>
      <c r="Q245" s="153">
        <v>1500</v>
      </c>
      <c r="R245" s="151">
        <v>500</v>
      </c>
      <c r="S245" s="153"/>
      <c r="T245" s="151">
        <v>4166</v>
      </c>
      <c r="U245" s="153">
        <v>3395</v>
      </c>
      <c r="V245" s="151"/>
      <c r="W245" s="153"/>
      <c r="X245" s="151"/>
      <c r="Y245" s="153"/>
      <c r="Z245" s="61">
        <f t="shared" si="40"/>
        <v>9846</v>
      </c>
      <c r="AA245" s="75">
        <f t="shared" si="40"/>
        <v>8575</v>
      </c>
      <c r="AB245" s="151"/>
      <c r="AC245" s="153"/>
      <c r="AD245" s="151">
        <v>900</v>
      </c>
      <c r="AE245" s="153">
        <v>800</v>
      </c>
      <c r="AF245" s="151">
        <v>2000</v>
      </c>
      <c r="AG245" s="153">
        <v>1200</v>
      </c>
      <c r="AH245" s="151"/>
      <c r="AI245" s="153"/>
      <c r="AJ245" s="151"/>
      <c r="AK245" s="153"/>
      <c r="AL245" s="151"/>
      <c r="AM245" s="153"/>
      <c r="AN245" s="151"/>
      <c r="AO245" s="153"/>
      <c r="AP245" s="61">
        <f t="shared" si="41"/>
        <v>12746</v>
      </c>
      <c r="AQ245" s="75">
        <f t="shared" si="39"/>
        <v>10575</v>
      </c>
      <c r="AR245" s="150" t="s">
        <v>128</v>
      </c>
      <c r="AS245" s="21">
        <f t="shared" si="32"/>
        <v>-2171</v>
      </c>
      <c r="AT245" s="21">
        <f t="shared" si="33"/>
        <v>0</v>
      </c>
      <c r="AU245" s="21">
        <f t="shared" si="34"/>
        <v>-2171</v>
      </c>
    </row>
    <row r="246" spans="1:47" x14ac:dyDescent="0.25">
      <c r="A246" s="4" t="s">
        <v>227</v>
      </c>
      <c r="B246" s="4" t="s">
        <v>98</v>
      </c>
      <c r="C246" s="5" t="s">
        <v>99</v>
      </c>
      <c r="D246" s="151"/>
      <c r="E246" s="153"/>
      <c r="F246" s="151">
        <v>137</v>
      </c>
      <c r="G246" s="153">
        <v>137</v>
      </c>
      <c r="H246" s="151"/>
      <c r="I246" s="153"/>
      <c r="J246" s="151"/>
      <c r="K246" s="153"/>
      <c r="L246" s="151">
        <v>30</v>
      </c>
      <c r="M246" s="153">
        <v>30</v>
      </c>
      <c r="N246" s="151"/>
      <c r="O246" s="153"/>
      <c r="P246" s="151">
        <v>300</v>
      </c>
      <c r="Q246" s="153">
        <v>300</v>
      </c>
      <c r="R246" s="151">
        <v>570</v>
      </c>
      <c r="S246" s="153">
        <v>570</v>
      </c>
      <c r="T246" s="151"/>
      <c r="U246" s="153"/>
      <c r="V246" s="151"/>
      <c r="W246" s="153"/>
      <c r="X246" s="151"/>
      <c r="Y246" s="153"/>
      <c r="Z246" s="61">
        <f t="shared" si="40"/>
        <v>1037</v>
      </c>
      <c r="AA246" s="75">
        <f t="shared" si="40"/>
        <v>1037</v>
      </c>
      <c r="AB246" s="151"/>
      <c r="AC246" s="153"/>
      <c r="AD246" s="151">
        <v>50</v>
      </c>
      <c r="AE246" s="153">
        <v>48</v>
      </c>
      <c r="AF246" s="151">
        <v>180</v>
      </c>
      <c r="AG246" s="153">
        <v>171</v>
      </c>
      <c r="AH246" s="151"/>
      <c r="AI246" s="153"/>
      <c r="AJ246" s="151"/>
      <c r="AK246" s="153"/>
      <c r="AL246" s="151"/>
      <c r="AM246" s="153"/>
      <c r="AN246" s="151"/>
      <c r="AO246" s="153"/>
      <c r="AP246" s="61">
        <f t="shared" si="41"/>
        <v>1267</v>
      </c>
      <c r="AQ246" s="75">
        <f t="shared" si="39"/>
        <v>1256</v>
      </c>
      <c r="AR246" s="150" t="s">
        <v>128</v>
      </c>
      <c r="AS246" s="21">
        <f t="shared" si="32"/>
        <v>-11</v>
      </c>
      <c r="AT246" s="21">
        <f t="shared" si="33"/>
        <v>0</v>
      </c>
      <c r="AU246" s="21">
        <f t="shared" si="34"/>
        <v>-11</v>
      </c>
    </row>
    <row r="247" spans="1:47" x14ac:dyDescent="0.25">
      <c r="A247" s="4" t="s">
        <v>227</v>
      </c>
      <c r="B247" s="4" t="s">
        <v>97</v>
      </c>
      <c r="C247" s="5" t="s">
        <v>96</v>
      </c>
      <c r="D247" s="151"/>
      <c r="E247" s="153"/>
      <c r="F247" s="151"/>
      <c r="G247" s="153"/>
      <c r="H247" s="151"/>
      <c r="I247" s="153"/>
      <c r="J247" s="151"/>
      <c r="K247" s="153"/>
      <c r="L247" s="151"/>
      <c r="M247" s="153"/>
      <c r="N247" s="151"/>
      <c r="O247" s="153"/>
      <c r="P247" s="151"/>
      <c r="Q247" s="153"/>
      <c r="R247" s="151">
        <v>3600</v>
      </c>
      <c r="S247" s="153">
        <v>4100</v>
      </c>
      <c r="T247" s="151"/>
      <c r="U247" s="153"/>
      <c r="V247" s="151">
        <v>2000</v>
      </c>
      <c r="W247" s="153">
        <v>2000</v>
      </c>
      <c r="X247" s="151"/>
      <c r="Y247" s="153"/>
      <c r="Z247" s="61">
        <f t="shared" si="40"/>
        <v>5600</v>
      </c>
      <c r="AA247" s="75">
        <f t="shared" si="40"/>
        <v>6100</v>
      </c>
      <c r="AB247" s="151"/>
      <c r="AC247" s="153"/>
      <c r="AD247" s="151">
        <v>1700</v>
      </c>
      <c r="AE247" s="153">
        <v>1700</v>
      </c>
      <c r="AF247" s="151"/>
      <c r="AG247" s="153"/>
      <c r="AH247" s="151"/>
      <c r="AI247" s="153"/>
      <c r="AJ247" s="151"/>
      <c r="AK247" s="153"/>
      <c r="AL247" s="151"/>
      <c r="AM247" s="153"/>
      <c r="AN247" s="151"/>
      <c r="AO247" s="153"/>
      <c r="AP247" s="61">
        <f t="shared" si="41"/>
        <v>7300</v>
      </c>
      <c r="AQ247" s="75">
        <f t="shared" si="39"/>
        <v>7800</v>
      </c>
      <c r="AR247" s="150" t="s">
        <v>128</v>
      </c>
      <c r="AS247" s="21">
        <f t="shared" si="32"/>
        <v>500</v>
      </c>
      <c r="AT247" s="21">
        <f t="shared" si="33"/>
        <v>0</v>
      </c>
      <c r="AU247" s="21">
        <f t="shared" si="34"/>
        <v>500</v>
      </c>
    </row>
    <row r="248" spans="1:47" x14ac:dyDescent="0.25">
      <c r="A248" s="4" t="s">
        <v>227</v>
      </c>
      <c r="B248" s="4" t="s">
        <v>229</v>
      </c>
      <c r="C248" s="5" t="s">
        <v>60</v>
      </c>
      <c r="D248" s="151">
        <v>106603</v>
      </c>
      <c r="E248" s="153">
        <v>107553</v>
      </c>
      <c r="F248" s="151">
        <v>73</v>
      </c>
      <c r="G248" s="153">
        <v>73</v>
      </c>
      <c r="H248" s="151"/>
      <c r="I248" s="153"/>
      <c r="J248" s="151">
        <v>1056</v>
      </c>
      <c r="K248" s="153">
        <v>1056</v>
      </c>
      <c r="L248" s="151">
        <v>3000</v>
      </c>
      <c r="M248" s="153">
        <v>3000</v>
      </c>
      <c r="N248" s="151">
        <v>150</v>
      </c>
      <c r="O248" s="153">
        <v>150</v>
      </c>
      <c r="P248" s="151"/>
      <c r="Q248" s="153"/>
      <c r="R248" s="151">
        <v>2500</v>
      </c>
      <c r="S248" s="153">
        <v>3800</v>
      </c>
      <c r="T248" s="151"/>
      <c r="U248" s="153"/>
      <c r="V248" s="151"/>
      <c r="W248" s="153"/>
      <c r="X248" s="151"/>
      <c r="Y248" s="153"/>
      <c r="Z248" s="61">
        <f t="shared" si="40"/>
        <v>113382</v>
      </c>
      <c r="AA248" s="75">
        <f t="shared" si="40"/>
        <v>115632</v>
      </c>
      <c r="AB248" s="151">
        <v>100</v>
      </c>
      <c r="AC248" s="153"/>
      <c r="AD248" s="151">
        <v>6000</v>
      </c>
      <c r="AE248" s="153">
        <v>5700</v>
      </c>
      <c r="AF248" s="151">
        <v>5000</v>
      </c>
      <c r="AG248" s="153">
        <v>4750</v>
      </c>
      <c r="AH248" s="151"/>
      <c r="AI248" s="153"/>
      <c r="AJ248" s="151"/>
      <c r="AK248" s="153"/>
      <c r="AL248" s="151"/>
      <c r="AM248" s="153"/>
      <c r="AN248" s="151"/>
      <c r="AO248" s="153"/>
      <c r="AP248" s="61">
        <f t="shared" si="41"/>
        <v>124482</v>
      </c>
      <c r="AQ248" s="75">
        <f t="shared" si="39"/>
        <v>126082</v>
      </c>
      <c r="AR248" s="150" t="s">
        <v>167</v>
      </c>
      <c r="AS248" s="21">
        <f t="shared" si="32"/>
        <v>1600</v>
      </c>
      <c r="AT248" s="21">
        <f t="shared" si="33"/>
        <v>950</v>
      </c>
      <c r="AU248" s="21">
        <f t="shared" si="34"/>
        <v>650</v>
      </c>
    </row>
    <row r="249" spans="1:47" ht="30" x14ac:dyDescent="0.25">
      <c r="A249" s="4" t="s">
        <v>227</v>
      </c>
      <c r="B249" s="4" t="s">
        <v>100</v>
      </c>
      <c r="C249" s="5" t="s">
        <v>101</v>
      </c>
      <c r="D249" s="151"/>
      <c r="E249" s="153"/>
      <c r="F249" s="151"/>
      <c r="G249" s="153"/>
      <c r="H249" s="151"/>
      <c r="I249" s="153"/>
      <c r="J249" s="151"/>
      <c r="K249" s="153"/>
      <c r="L249" s="151"/>
      <c r="M249" s="153"/>
      <c r="N249" s="151"/>
      <c r="O249" s="153"/>
      <c r="P249" s="151"/>
      <c r="Q249" s="153"/>
      <c r="R249" s="151"/>
      <c r="S249" s="153"/>
      <c r="T249" s="151"/>
      <c r="U249" s="153"/>
      <c r="V249" s="151"/>
      <c r="W249" s="153"/>
      <c r="X249" s="151"/>
      <c r="Y249" s="153"/>
      <c r="Z249" s="61">
        <f t="shared" si="40"/>
        <v>0</v>
      </c>
      <c r="AA249" s="75">
        <f t="shared" si="40"/>
        <v>0</v>
      </c>
      <c r="AB249" s="151"/>
      <c r="AC249" s="153"/>
      <c r="AD249" s="151"/>
      <c r="AE249" s="153"/>
      <c r="AF249" s="151"/>
      <c r="AG249" s="153"/>
      <c r="AH249" s="151"/>
      <c r="AI249" s="153"/>
      <c r="AJ249" s="151"/>
      <c r="AK249" s="153"/>
      <c r="AL249" s="151">
        <v>7783</v>
      </c>
      <c r="AM249" s="153">
        <v>7783</v>
      </c>
      <c r="AN249" s="151"/>
      <c r="AO249" s="153"/>
      <c r="AP249" s="61">
        <f t="shared" si="41"/>
        <v>7783</v>
      </c>
      <c r="AQ249" s="75">
        <f t="shared" si="39"/>
        <v>7783</v>
      </c>
      <c r="AR249" s="150" t="s">
        <v>102</v>
      </c>
      <c r="AS249" s="21">
        <f t="shared" si="32"/>
        <v>0</v>
      </c>
      <c r="AT249" s="21">
        <f t="shared" si="33"/>
        <v>0</v>
      </c>
      <c r="AU249" s="21">
        <f t="shared" si="34"/>
        <v>0</v>
      </c>
    </row>
    <row r="250" spans="1:47" x14ac:dyDescent="0.25">
      <c r="A250" s="4" t="s">
        <v>227</v>
      </c>
      <c r="B250" s="4" t="s">
        <v>105</v>
      </c>
      <c r="C250" s="5"/>
      <c r="D250" s="151">
        <v>3607</v>
      </c>
      <c r="E250" s="153">
        <v>3663</v>
      </c>
      <c r="F250" s="151"/>
      <c r="G250" s="153"/>
      <c r="H250" s="151"/>
      <c r="I250" s="153"/>
      <c r="J250" s="151"/>
      <c r="K250" s="153"/>
      <c r="L250" s="151"/>
      <c r="M250" s="153"/>
      <c r="N250" s="151"/>
      <c r="O250" s="153"/>
      <c r="P250" s="151"/>
      <c r="Q250" s="153"/>
      <c r="R250" s="151"/>
      <c r="S250" s="153"/>
      <c r="T250" s="151"/>
      <c r="U250" s="153"/>
      <c r="V250" s="151"/>
      <c r="W250" s="153"/>
      <c r="X250" s="151"/>
      <c r="Y250" s="153"/>
      <c r="Z250" s="61">
        <f t="shared" si="40"/>
        <v>3607</v>
      </c>
      <c r="AA250" s="75">
        <f t="shared" si="40"/>
        <v>3663</v>
      </c>
      <c r="AB250" s="151"/>
      <c r="AC250" s="153"/>
      <c r="AD250" s="151"/>
      <c r="AE250" s="153"/>
      <c r="AF250" s="151"/>
      <c r="AG250" s="153"/>
      <c r="AH250" s="151"/>
      <c r="AI250" s="153"/>
      <c r="AJ250" s="151"/>
      <c r="AK250" s="153"/>
      <c r="AL250" s="151"/>
      <c r="AM250" s="153"/>
      <c r="AN250" s="151"/>
      <c r="AO250" s="153"/>
      <c r="AP250" s="61">
        <f t="shared" si="41"/>
        <v>3607</v>
      </c>
      <c r="AQ250" s="75">
        <f t="shared" si="39"/>
        <v>3663</v>
      </c>
      <c r="AR250" s="150" t="s">
        <v>58</v>
      </c>
      <c r="AS250" s="21">
        <f t="shared" si="32"/>
        <v>56</v>
      </c>
      <c r="AT250" s="21">
        <f t="shared" si="33"/>
        <v>56</v>
      </c>
      <c r="AU250" s="21">
        <f t="shared" si="34"/>
        <v>0</v>
      </c>
    </row>
    <row r="251" spans="1:47" x14ac:dyDescent="0.25">
      <c r="A251" s="4" t="s">
        <v>227</v>
      </c>
      <c r="B251" s="4" t="s">
        <v>106</v>
      </c>
      <c r="C251" s="5"/>
      <c r="D251" s="151">
        <v>3752</v>
      </c>
      <c r="E251" s="153">
        <v>3815</v>
      </c>
      <c r="F251" s="151"/>
      <c r="G251" s="153"/>
      <c r="H251" s="151"/>
      <c r="I251" s="153"/>
      <c r="J251" s="151"/>
      <c r="K251" s="153"/>
      <c r="L251" s="151"/>
      <c r="M251" s="153"/>
      <c r="N251" s="151"/>
      <c r="O251" s="153"/>
      <c r="P251" s="151"/>
      <c r="Q251" s="153"/>
      <c r="R251" s="151"/>
      <c r="S251" s="153"/>
      <c r="T251" s="151"/>
      <c r="U251" s="153"/>
      <c r="V251" s="151"/>
      <c r="W251" s="153"/>
      <c r="X251" s="151"/>
      <c r="Y251" s="153"/>
      <c r="Z251" s="61">
        <f t="shared" si="40"/>
        <v>3752</v>
      </c>
      <c r="AA251" s="75">
        <f t="shared" si="40"/>
        <v>3815</v>
      </c>
      <c r="AB251" s="151"/>
      <c r="AC251" s="153"/>
      <c r="AD251" s="151"/>
      <c r="AE251" s="153"/>
      <c r="AF251" s="151"/>
      <c r="AG251" s="153"/>
      <c r="AH251" s="151"/>
      <c r="AI251" s="153"/>
      <c r="AJ251" s="151"/>
      <c r="AK251" s="153"/>
      <c r="AL251" s="151"/>
      <c r="AM251" s="153"/>
      <c r="AN251" s="151"/>
      <c r="AO251" s="153"/>
      <c r="AP251" s="61">
        <f t="shared" si="41"/>
        <v>3752</v>
      </c>
      <c r="AQ251" s="75">
        <f t="shared" si="39"/>
        <v>3815</v>
      </c>
      <c r="AR251" s="150" t="s">
        <v>58</v>
      </c>
      <c r="AS251" s="21">
        <f t="shared" si="32"/>
        <v>63</v>
      </c>
      <c r="AT251" s="21">
        <f t="shared" si="33"/>
        <v>63</v>
      </c>
      <c r="AU251" s="21">
        <f t="shared" si="34"/>
        <v>0</v>
      </c>
    </row>
    <row r="252" spans="1:47" x14ac:dyDescent="0.25">
      <c r="A252" s="16" t="s">
        <v>230</v>
      </c>
      <c r="B252" s="16" t="s">
        <v>108</v>
      </c>
      <c r="C252" s="17"/>
      <c r="D252" s="18">
        <f t="shared" ref="D252:AP252" si="42">SUM(D236:D251)</f>
        <v>191572</v>
      </c>
      <c r="E252" s="105">
        <f t="shared" si="42"/>
        <v>190624</v>
      </c>
      <c r="F252" s="18">
        <f t="shared" si="42"/>
        <v>2370</v>
      </c>
      <c r="G252" s="18">
        <f t="shared" si="42"/>
        <v>2280</v>
      </c>
      <c r="H252" s="18">
        <f t="shared" si="42"/>
        <v>0</v>
      </c>
      <c r="I252" s="18">
        <f t="shared" si="42"/>
        <v>0</v>
      </c>
      <c r="J252" s="18">
        <f t="shared" si="42"/>
        <v>4075</v>
      </c>
      <c r="K252" s="18">
        <f t="shared" si="42"/>
        <v>4075</v>
      </c>
      <c r="L252" s="18">
        <f t="shared" si="42"/>
        <v>15230</v>
      </c>
      <c r="M252" s="18">
        <f t="shared" si="42"/>
        <v>16008</v>
      </c>
      <c r="N252" s="18">
        <f t="shared" si="42"/>
        <v>2230</v>
      </c>
      <c r="O252" s="18">
        <f t="shared" si="42"/>
        <v>2230</v>
      </c>
      <c r="P252" s="18">
        <f t="shared" si="42"/>
        <v>15300</v>
      </c>
      <c r="Q252" s="18">
        <f t="shared" si="42"/>
        <v>14750</v>
      </c>
      <c r="R252" s="18">
        <f t="shared" si="42"/>
        <v>16370</v>
      </c>
      <c r="S252" s="18">
        <f t="shared" si="42"/>
        <v>15700</v>
      </c>
      <c r="T252" s="18">
        <f t="shared" si="42"/>
        <v>5066</v>
      </c>
      <c r="U252" s="18">
        <f t="shared" si="42"/>
        <v>4295</v>
      </c>
      <c r="V252" s="18">
        <f t="shared" si="42"/>
        <v>2000</v>
      </c>
      <c r="W252" s="18">
        <f t="shared" si="42"/>
        <v>2000</v>
      </c>
      <c r="X252" s="18">
        <f t="shared" si="42"/>
        <v>0</v>
      </c>
      <c r="Y252" s="18">
        <f t="shared" si="42"/>
        <v>0</v>
      </c>
      <c r="Z252" s="18">
        <f t="shared" si="42"/>
        <v>254213</v>
      </c>
      <c r="AA252" s="18">
        <f t="shared" si="42"/>
        <v>251962</v>
      </c>
      <c r="AB252" s="18">
        <f t="shared" si="42"/>
        <v>220</v>
      </c>
      <c r="AC252" s="18">
        <f t="shared" si="42"/>
        <v>150</v>
      </c>
      <c r="AD252" s="18">
        <f t="shared" si="42"/>
        <v>25450</v>
      </c>
      <c r="AE252" s="18">
        <f t="shared" si="42"/>
        <v>24731</v>
      </c>
      <c r="AF252" s="18">
        <f t="shared" si="42"/>
        <v>24569</v>
      </c>
      <c r="AG252" s="18">
        <f t="shared" si="42"/>
        <v>24093</v>
      </c>
      <c r="AH252" s="18">
        <f t="shared" si="42"/>
        <v>1546</v>
      </c>
      <c r="AI252" s="18">
        <f t="shared" si="42"/>
        <v>1436</v>
      </c>
      <c r="AJ252" s="18">
        <f t="shared" si="42"/>
        <v>0</v>
      </c>
      <c r="AK252" s="18">
        <f t="shared" si="42"/>
        <v>0</v>
      </c>
      <c r="AL252" s="18">
        <f t="shared" si="42"/>
        <v>7783</v>
      </c>
      <c r="AM252" s="18">
        <f t="shared" si="42"/>
        <v>7783</v>
      </c>
      <c r="AN252" s="18">
        <f t="shared" si="42"/>
        <v>0</v>
      </c>
      <c r="AO252" s="18">
        <f t="shared" si="42"/>
        <v>0</v>
      </c>
      <c r="AP252" s="18">
        <f t="shared" si="42"/>
        <v>313781</v>
      </c>
      <c r="AQ252" s="75">
        <f t="shared" si="39"/>
        <v>310155</v>
      </c>
      <c r="AR252" s="150"/>
      <c r="AS252" s="156">
        <f t="shared" si="32"/>
        <v>-3626</v>
      </c>
      <c r="AT252" s="156">
        <f t="shared" si="33"/>
        <v>-948</v>
      </c>
      <c r="AU252" s="156">
        <f t="shared" si="34"/>
        <v>-2678</v>
      </c>
    </row>
    <row r="253" spans="1:47" x14ac:dyDescent="0.25">
      <c r="A253" s="4" t="s">
        <v>231</v>
      </c>
      <c r="B253" s="4" t="s">
        <v>56</v>
      </c>
      <c r="C253" s="5" t="s">
        <v>57</v>
      </c>
      <c r="D253" s="151">
        <v>49924</v>
      </c>
      <c r="E253" s="153">
        <v>48586</v>
      </c>
      <c r="F253" s="151">
        <v>370</v>
      </c>
      <c r="G253" s="153">
        <v>370</v>
      </c>
      <c r="H253" s="151"/>
      <c r="I253" s="153"/>
      <c r="J253" s="151">
        <v>180</v>
      </c>
      <c r="K253" s="153">
        <v>160</v>
      </c>
      <c r="L253" s="151">
        <v>1076</v>
      </c>
      <c r="M253" s="153">
        <v>1076</v>
      </c>
      <c r="N253" s="151">
        <v>220</v>
      </c>
      <c r="O253" s="153">
        <v>220</v>
      </c>
      <c r="P253" s="151">
        <v>1330</v>
      </c>
      <c r="Q253" s="153">
        <v>1330</v>
      </c>
      <c r="R253" s="151">
        <v>3950</v>
      </c>
      <c r="S253" s="153">
        <v>3850</v>
      </c>
      <c r="T253" s="151"/>
      <c r="U253" s="153"/>
      <c r="V253" s="151"/>
      <c r="W253" s="153"/>
      <c r="X253" s="151"/>
      <c r="Y253" s="153"/>
      <c r="Z253" s="61">
        <f t="shared" ref="Z253:AA276" si="43">D253+F253+H253+J253+L253+P253+R253+T253+V253+X253+N253</f>
        <v>57050</v>
      </c>
      <c r="AA253" s="75">
        <f t="shared" si="43"/>
        <v>55592</v>
      </c>
      <c r="AB253" s="151">
        <v>300</v>
      </c>
      <c r="AC253" s="153">
        <v>50</v>
      </c>
      <c r="AD253" s="151">
        <v>5800</v>
      </c>
      <c r="AE253" s="153">
        <v>6600</v>
      </c>
      <c r="AF253" s="151">
        <v>4500</v>
      </c>
      <c r="AG253" s="153">
        <v>4200</v>
      </c>
      <c r="AH253" s="151"/>
      <c r="AI253" s="153"/>
      <c r="AJ253" s="151"/>
      <c r="AK253" s="153"/>
      <c r="AL253" s="151"/>
      <c r="AM253" s="153"/>
      <c r="AN253" s="151">
        <v>286</v>
      </c>
      <c r="AO253" s="153">
        <v>286</v>
      </c>
      <c r="AP253" s="61">
        <f t="shared" ref="AP253:AP276" si="44">Z253+AB253+AD253+AF253+AH253+AJ253+AL253+AN253</f>
        <v>67936</v>
      </c>
      <c r="AQ253" s="75">
        <f t="shared" si="39"/>
        <v>66728</v>
      </c>
      <c r="AR253" s="150" t="s">
        <v>58</v>
      </c>
      <c r="AS253" s="21">
        <f t="shared" si="32"/>
        <v>-1208</v>
      </c>
      <c r="AT253" s="21">
        <f t="shared" si="33"/>
        <v>-1338</v>
      </c>
      <c r="AU253" s="21">
        <f t="shared" si="34"/>
        <v>130</v>
      </c>
    </row>
    <row r="254" spans="1:47" x14ac:dyDescent="0.25">
      <c r="A254" s="4" t="s">
        <v>231</v>
      </c>
      <c r="B254" s="4" t="s">
        <v>98</v>
      </c>
      <c r="C254" s="5" t="s">
        <v>99</v>
      </c>
      <c r="D254" s="151"/>
      <c r="E254" s="153"/>
      <c r="F254" s="151">
        <v>206</v>
      </c>
      <c r="G254" s="153">
        <v>206</v>
      </c>
      <c r="H254" s="151"/>
      <c r="I254" s="153"/>
      <c r="J254" s="151">
        <v>40</v>
      </c>
      <c r="K254" s="153">
        <v>30</v>
      </c>
      <c r="L254" s="151">
        <v>140</v>
      </c>
      <c r="M254" s="153">
        <v>140</v>
      </c>
      <c r="N254" s="151">
        <v>30</v>
      </c>
      <c r="O254" s="153">
        <v>30</v>
      </c>
      <c r="P254" s="151">
        <v>110</v>
      </c>
      <c r="Q254" s="153">
        <v>110</v>
      </c>
      <c r="R254" s="151">
        <v>500</v>
      </c>
      <c r="S254" s="153">
        <v>300</v>
      </c>
      <c r="T254" s="151"/>
      <c r="U254" s="153"/>
      <c r="V254" s="151"/>
      <c r="W254" s="153"/>
      <c r="X254" s="151"/>
      <c r="Y254" s="153"/>
      <c r="Z254" s="61">
        <f t="shared" si="43"/>
        <v>1026</v>
      </c>
      <c r="AA254" s="75">
        <f t="shared" si="43"/>
        <v>816</v>
      </c>
      <c r="AB254" s="151">
        <v>60</v>
      </c>
      <c r="AC254" s="153">
        <v>40</v>
      </c>
      <c r="AD254" s="151">
        <v>150</v>
      </c>
      <c r="AE254" s="153">
        <v>100</v>
      </c>
      <c r="AF254" s="151">
        <v>120</v>
      </c>
      <c r="AG254" s="153">
        <v>100</v>
      </c>
      <c r="AH254" s="151"/>
      <c r="AI254" s="153"/>
      <c r="AJ254" s="151"/>
      <c r="AK254" s="153"/>
      <c r="AL254" s="151"/>
      <c r="AM254" s="153"/>
      <c r="AN254" s="151"/>
      <c r="AO254" s="153"/>
      <c r="AP254" s="61">
        <f t="shared" si="44"/>
        <v>1356</v>
      </c>
      <c r="AQ254" s="75">
        <f t="shared" si="39"/>
        <v>1056</v>
      </c>
      <c r="AR254" s="150" t="s">
        <v>58</v>
      </c>
      <c r="AS254" s="21">
        <f t="shared" si="32"/>
        <v>-300</v>
      </c>
      <c r="AT254" s="21">
        <f t="shared" si="33"/>
        <v>0</v>
      </c>
      <c r="AU254" s="21">
        <f t="shared" si="34"/>
        <v>-300</v>
      </c>
    </row>
    <row r="255" spans="1:47" ht="26.25" x14ac:dyDescent="0.25">
      <c r="A255" s="4" t="s">
        <v>231</v>
      </c>
      <c r="B255" s="4" t="s">
        <v>65</v>
      </c>
      <c r="C255" s="5" t="s">
        <v>60</v>
      </c>
      <c r="D255" s="151">
        <v>101540</v>
      </c>
      <c r="E255" s="153">
        <v>124786</v>
      </c>
      <c r="F255" s="151"/>
      <c r="G255" s="153"/>
      <c r="H255" s="151"/>
      <c r="I255" s="153"/>
      <c r="J255" s="151">
        <v>150</v>
      </c>
      <c r="K255" s="153">
        <v>100</v>
      </c>
      <c r="L255" s="151">
        <v>895</v>
      </c>
      <c r="M255" s="153">
        <v>895</v>
      </c>
      <c r="N255" s="151">
        <v>378</v>
      </c>
      <c r="O255" s="153">
        <v>378</v>
      </c>
      <c r="P255" s="151"/>
      <c r="Q255" s="153"/>
      <c r="R255" s="151">
        <v>3878</v>
      </c>
      <c r="S255" s="153">
        <v>3600</v>
      </c>
      <c r="T255" s="151"/>
      <c r="U255" s="153"/>
      <c r="V255" s="151"/>
      <c r="W255" s="153"/>
      <c r="X255" s="151"/>
      <c r="Y255" s="153"/>
      <c r="Z255" s="61">
        <f t="shared" si="43"/>
        <v>106841</v>
      </c>
      <c r="AA255" s="75">
        <f t="shared" si="43"/>
        <v>129759</v>
      </c>
      <c r="AB255" s="151"/>
      <c r="AC255" s="153"/>
      <c r="AD255" s="151">
        <v>4000</v>
      </c>
      <c r="AE255" s="153">
        <v>4000</v>
      </c>
      <c r="AF255" s="151">
        <v>4600</v>
      </c>
      <c r="AG255" s="153">
        <v>4600</v>
      </c>
      <c r="AH255" s="151"/>
      <c r="AI255" s="153"/>
      <c r="AJ255" s="151"/>
      <c r="AK255" s="153"/>
      <c r="AL255" s="151"/>
      <c r="AM255" s="153"/>
      <c r="AN255" s="151"/>
      <c r="AO255" s="153"/>
      <c r="AP255" s="61">
        <f t="shared" si="44"/>
        <v>115441</v>
      </c>
      <c r="AQ255" s="75">
        <f t="shared" si="39"/>
        <v>138359</v>
      </c>
      <c r="AR255" s="150" t="s">
        <v>167</v>
      </c>
      <c r="AS255" s="21">
        <f t="shared" si="32"/>
        <v>22918</v>
      </c>
      <c r="AT255" s="21">
        <f t="shared" si="33"/>
        <v>23246</v>
      </c>
      <c r="AU255" s="21">
        <f t="shared" si="34"/>
        <v>-328</v>
      </c>
    </row>
    <row r="256" spans="1:47" x14ac:dyDescent="0.25">
      <c r="A256" s="4" t="s">
        <v>231</v>
      </c>
      <c r="B256" s="4" t="s">
        <v>232</v>
      </c>
      <c r="C256" s="5" t="s">
        <v>60</v>
      </c>
      <c r="D256" s="151"/>
      <c r="E256" s="153"/>
      <c r="F256" s="151"/>
      <c r="G256" s="153"/>
      <c r="H256" s="151"/>
      <c r="I256" s="153"/>
      <c r="J256" s="151"/>
      <c r="K256" s="153"/>
      <c r="L256" s="151"/>
      <c r="M256" s="153"/>
      <c r="N256" s="151"/>
      <c r="O256" s="153"/>
      <c r="P256" s="151"/>
      <c r="Q256" s="153"/>
      <c r="R256" s="151">
        <v>240</v>
      </c>
      <c r="S256" s="153">
        <v>240</v>
      </c>
      <c r="T256" s="151"/>
      <c r="U256" s="153"/>
      <c r="V256" s="151"/>
      <c r="W256" s="153"/>
      <c r="X256" s="151"/>
      <c r="Y256" s="153"/>
      <c r="Z256" s="61">
        <f t="shared" si="43"/>
        <v>240</v>
      </c>
      <c r="AA256" s="75">
        <f t="shared" si="43"/>
        <v>240</v>
      </c>
      <c r="AB256" s="151"/>
      <c r="AC256" s="153"/>
      <c r="AD256" s="151">
        <v>180</v>
      </c>
      <c r="AE256" s="153">
        <v>120</v>
      </c>
      <c r="AF256" s="151">
        <v>400</v>
      </c>
      <c r="AG256" s="153">
        <v>200</v>
      </c>
      <c r="AH256" s="151"/>
      <c r="AI256" s="153"/>
      <c r="AJ256" s="151"/>
      <c r="AK256" s="153"/>
      <c r="AL256" s="151"/>
      <c r="AM256" s="153"/>
      <c r="AN256" s="151"/>
      <c r="AO256" s="153"/>
      <c r="AP256" s="61">
        <f t="shared" si="44"/>
        <v>820</v>
      </c>
      <c r="AQ256" s="75">
        <f t="shared" si="39"/>
        <v>560</v>
      </c>
      <c r="AR256" s="150" t="s">
        <v>161</v>
      </c>
      <c r="AS256" s="21">
        <f t="shared" si="32"/>
        <v>-260</v>
      </c>
      <c r="AT256" s="21">
        <f t="shared" si="33"/>
        <v>0</v>
      </c>
      <c r="AU256" s="21">
        <f t="shared" si="34"/>
        <v>-260</v>
      </c>
    </row>
    <row r="257" spans="1:47" x14ac:dyDescent="0.25">
      <c r="A257" s="4" t="s">
        <v>231</v>
      </c>
      <c r="B257" s="4" t="s">
        <v>131</v>
      </c>
      <c r="C257" s="5" t="s">
        <v>67</v>
      </c>
      <c r="D257" s="151">
        <v>13655</v>
      </c>
      <c r="E257" s="153">
        <v>14015</v>
      </c>
      <c r="F257" s="151">
        <v>10</v>
      </c>
      <c r="G257" s="153">
        <v>10</v>
      </c>
      <c r="H257" s="151"/>
      <c r="I257" s="153"/>
      <c r="J257" s="151">
        <v>56</v>
      </c>
      <c r="K257" s="153">
        <v>50</v>
      </c>
      <c r="L257" s="151">
        <v>350</v>
      </c>
      <c r="M257" s="153">
        <v>350</v>
      </c>
      <c r="N257" s="151">
        <v>35</v>
      </c>
      <c r="O257" s="153">
        <v>35</v>
      </c>
      <c r="P257" s="151">
        <v>280</v>
      </c>
      <c r="Q257" s="153">
        <v>280</v>
      </c>
      <c r="R257" s="151">
        <v>775</v>
      </c>
      <c r="S257" s="153">
        <v>750</v>
      </c>
      <c r="T257" s="151"/>
      <c r="U257" s="153"/>
      <c r="V257" s="151"/>
      <c r="W257" s="153"/>
      <c r="X257" s="151"/>
      <c r="Y257" s="153"/>
      <c r="Z257" s="61">
        <f t="shared" si="43"/>
        <v>15161</v>
      </c>
      <c r="AA257" s="75">
        <f t="shared" si="43"/>
        <v>15490</v>
      </c>
      <c r="AB257" s="151">
        <v>50</v>
      </c>
      <c r="AC257" s="153">
        <v>40</v>
      </c>
      <c r="AD257" s="151">
        <v>1100</v>
      </c>
      <c r="AE257" s="153">
        <v>900</v>
      </c>
      <c r="AF257" s="151">
        <v>800</v>
      </c>
      <c r="AG257" s="153">
        <v>800</v>
      </c>
      <c r="AH257" s="151"/>
      <c r="AI257" s="153"/>
      <c r="AJ257" s="151"/>
      <c r="AK257" s="153"/>
      <c r="AL257" s="151"/>
      <c r="AM257" s="153"/>
      <c r="AN257" s="151"/>
      <c r="AO257" s="153"/>
      <c r="AP257" s="61">
        <f t="shared" si="44"/>
        <v>17111</v>
      </c>
      <c r="AQ257" s="75">
        <f t="shared" si="39"/>
        <v>17230</v>
      </c>
      <c r="AR257" s="150" t="s">
        <v>68</v>
      </c>
      <c r="AS257" s="21">
        <f t="shared" si="32"/>
        <v>119</v>
      </c>
      <c r="AT257" s="21">
        <f t="shared" si="33"/>
        <v>360</v>
      </c>
      <c r="AU257" s="21">
        <f t="shared" si="34"/>
        <v>-241</v>
      </c>
    </row>
    <row r="258" spans="1:47" x14ac:dyDescent="0.25">
      <c r="A258" s="4" t="s">
        <v>231</v>
      </c>
      <c r="B258" s="4" t="s">
        <v>233</v>
      </c>
      <c r="C258" s="5" t="s">
        <v>70</v>
      </c>
      <c r="D258" s="151">
        <v>1698</v>
      </c>
      <c r="E258" s="153">
        <v>1780</v>
      </c>
      <c r="F258" s="151"/>
      <c r="G258" s="153"/>
      <c r="H258" s="151"/>
      <c r="I258" s="153"/>
      <c r="J258" s="151">
        <v>420</v>
      </c>
      <c r="K258" s="153">
        <v>350</v>
      </c>
      <c r="L258" s="151">
        <v>1450</v>
      </c>
      <c r="M258" s="153">
        <v>1450</v>
      </c>
      <c r="N258" s="151">
        <v>40</v>
      </c>
      <c r="O258" s="153">
        <v>40</v>
      </c>
      <c r="P258" s="151"/>
      <c r="Q258" s="153"/>
      <c r="R258" s="151">
        <v>400</v>
      </c>
      <c r="S258" s="153">
        <v>300</v>
      </c>
      <c r="T258" s="151"/>
      <c r="U258" s="153"/>
      <c r="V258" s="151"/>
      <c r="W258" s="153"/>
      <c r="X258" s="151"/>
      <c r="Y258" s="153"/>
      <c r="Z258" s="61">
        <f t="shared" si="43"/>
        <v>4008</v>
      </c>
      <c r="AA258" s="75">
        <f t="shared" si="43"/>
        <v>3920</v>
      </c>
      <c r="AB258" s="151"/>
      <c r="AC258" s="153"/>
      <c r="AD258" s="151">
        <v>1050</v>
      </c>
      <c r="AE258" s="153">
        <v>950</v>
      </c>
      <c r="AF258" s="151">
        <v>2314</v>
      </c>
      <c r="AG258" s="153">
        <v>1800</v>
      </c>
      <c r="AH258" s="151"/>
      <c r="AI258" s="153"/>
      <c r="AJ258" s="151"/>
      <c r="AK258" s="153"/>
      <c r="AL258" s="151"/>
      <c r="AM258" s="153"/>
      <c r="AN258" s="151"/>
      <c r="AO258" s="153"/>
      <c r="AP258" s="61">
        <f t="shared" si="44"/>
        <v>7372</v>
      </c>
      <c r="AQ258" s="75">
        <f t="shared" si="39"/>
        <v>6670</v>
      </c>
      <c r="AR258" s="150" t="s">
        <v>71</v>
      </c>
      <c r="AS258" s="21">
        <f t="shared" si="32"/>
        <v>-702</v>
      </c>
      <c r="AT258" s="21">
        <f t="shared" si="33"/>
        <v>82</v>
      </c>
      <c r="AU258" s="21">
        <f t="shared" si="34"/>
        <v>-784</v>
      </c>
    </row>
    <row r="259" spans="1:47" x14ac:dyDescent="0.25">
      <c r="A259" s="4" t="s">
        <v>231</v>
      </c>
      <c r="B259" s="4" t="s">
        <v>234</v>
      </c>
      <c r="C259" s="5" t="s">
        <v>70</v>
      </c>
      <c r="D259" s="151">
        <v>9485</v>
      </c>
      <c r="E259" s="153">
        <v>9729</v>
      </c>
      <c r="F259" s="151">
        <v>5</v>
      </c>
      <c r="G259" s="153">
        <v>5</v>
      </c>
      <c r="H259" s="151"/>
      <c r="I259" s="153"/>
      <c r="J259" s="151">
        <v>1070</v>
      </c>
      <c r="K259" s="153">
        <v>1000</v>
      </c>
      <c r="L259" s="151">
        <v>3030</v>
      </c>
      <c r="M259" s="153">
        <v>3030</v>
      </c>
      <c r="N259" s="151">
        <v>80</v>
      </c>
      <c r="O259" s="153">
        <v>80</v>
      </c>
      <c r="P259" s="151">
        <v>1731</v>
      </c>
      <c r="Q259" s="153">
        <v>1731</v>
      </c>
      <c r="R259" s="151"/>
      <c r="S259" s="153"/>
      <c r="T259" s="151"/>
      <c r="U259" s="153"/>
      <c r="V259" s="151"/>
      <c r="W259" s="153"/>
      <c r="X259" s="151"/>
      <c r="Y259" s="153"/>
      <c r="Z259" s="61">
        <f t="shared" si="43"/>
        <v>15401</v>
      </c>
      <c r="AA259" s="75">
        <f t="shared" si="43"/>
        <v>15575</v>
      </c>
      <c r="AB259" s="151"/>
      <c r="AC259" s="153"/>
      <c r="AD259" s="151">
        <v>1050</v>
      </c>
      <c r="AE259" s="153">
        <v>1000</v>
      </c>
      <c r="AF259" s="151">
        <v>2105</v>
      </c>
      <c r="AG259" s="153">
        <v>2100</v>
      </c>
      <c r="AH259" s="151"/>
      <c r="AI259" s="153"/>
      <c r="AJ259" s="151"/>
      <c r="AK259" s="153"/>
      <c r="AL259" s="151"/>
      <c r="AM259" s="153"/>
      <c r="AN259" s="151"/>
      <c r="AO259" s="153"/>
      <c r="AP259" s="61">
        <f t="shared" si="44"/>
        <v>18556</v>
      </c>
      <c r="AQ259" s="75">
        <f t="shared" si="39"/>
        <v>18675</v>
      </c>
      <c r="AR259" s="150" t="s">
        <v>128</v>
      </c>
      <c r="AS259" s="21">
        <f t="shared" si="32"/>
        <v>119</v>
      </c>
      <c r="AT259" s="21">
        <f t="shared" si="33"/>
        <v>244</v>
      </c>
      <c r="AU259" s="21">
        <f t="shared" si="34"/>
        <v>-125</v>
      </c>
    </row>
    <row r="260" spans="1:47" x14ac:dyDescent="0.25">
      <c r="A260" s="4" t="s">
        <v>231</v>
      </c>
      <c r="B260" s="4" t="s">
        <v>235</v>
      </c>
      <c r="C260" s="5" t="s">
        <v>79</v>
      </c>
      <c r="D260" s="151">
        <v>6031</v>
      </c>
      <c r="E260" s="153">
        <v>6303</v>
      </c>
      <c r="F260" s="151">
        <v>161</v>
      </c>
      <c r="G260" s="153">
        <v>161</v>
      </c>
      <c r="H260" s="151"/>
      <c r="I260" s="153"/>
      <c r="J260" s="151">
        <v>164</v>
      </c>
      <c r="K260" s="153">
        <v>160</v>
      </c>
      <c r="L260" s="151">
        <v>1625</v>
      </c>
      <c r="M260" s="153">
        <v>1625</v>
      </c>
      <c r="N260" s="151">
        <v>20</v>
      </c>
      <c r="O260" s="153">
        <v>20</v>
      </c>
      <c r="P260" s="151">
        <v>1356</v>
      </c>
      <c r="Q260" s="153">
        <v>1356</v>
      </c>
      <c r="R260" s="151">
        <v>350</v>
      </c>
      <c r="S260" s="153">
        <v>350</v>
      </c>
      <c r="T260" s="151"/>
      <c r="U260" s="153"/>
      <c r="V260" s="151"/>
      <c r="W260" s="153"/>
      <c r="X260" s="151"/>
      <c r="Y260" s="153"/>
      <c r="Z260" s="61">
        <f t="shared" si="43"/>
        <v>9707</v>
      </c>
      <c r="AA260" s="75">
        <f t="shared" si="43"/>
        <v>9975</v>
      </c>
      <c r="AB260" s="151">
        <v>50</v>
      </c>
      <c r="AC260" s="153">
        <v>40</v>
      </c>
      <c r="AD260" s="151">
        <v>3000</v>
      </c>
      <c r="AE260" s="153">
        <v>2000</v>
      </c>
      <c r="AF260" s="151">
        <v>2300</v>
      </c>
      <c r="AG260" s="153">
        <v>2000</v>
      </c>
      <c r="AH260" s="151"/>
      <c r="AI260" s="153"/>
      <c r="AJ260" s="151"/>
      <c r="AK260" s="153"/>
      <c r="AL260" s="151"/>
      <c r="AM260" s="153"/>
      <c r="AN260" s="151"/>
      <c r="AO260" s="153"/>
      <c r="AP260" s="61">
        <f t="shared" si="44"/>
        <v>15057</v>
      </c>
      <c r="AQ260" s="75">
        <f t="shared" si="39"/>
        <v>14015</v>
      </c>
      <c r="AR260" s="150" t="s">
        <v>80</v>
      </c>
      <c r="AS260" s="21">
        <f t="shared" si="32"/>
        <v>-1042</v>
      </c>
      <c r="AT260" s="21">
        <f t="shared" si="33"/>
        <v>272</v>
      </c>
      <c r="AU260" s="21">
        <f t="shared" si="34"/>
        <v>-1314</v>
      </c>
    </row>
    <row r="261" spans="1:47" x14ac:dyDescent="0.25">
      <c r="A261" s="4" t="s">
        <v>231</v>
      </c>
      <c r="B261" s="4" t="s">
        <v>126</v>
      </c>
      <c r="C261" s="5" t="s">
        <v>73</v>
      </c>
      <c r="D261" s="151">
        <v>8741</v>
      </c>
      <c r="E261" s="153">
        <v>9314</v>
      </c>
      <c r="F261" s="151">
        <v>50</v>
      </c>
      <c r="G261" s="153">
        <v>50</v>
      </c>
      <c r="H261" s="151"/>
      <c r="I261" s="153"/>
      <c r="J261" s="151">
        <v>80</v>
      </c>
      <c r="K261" s="153">
        <v>60</v>
      </c>
      <c r="L261" s="151">
        <v>460</v>
      </c>
      <c r="M261" s="153">
        <v>460</v>
      </c>
      <c r="N261" s="151">
        <v>106</v>
      </c>
      <c r="O261" s="153">
        <v>106</v>
      </c>
      <c r="P261" s="151">
        <v>706</v>
      </c>
      <c r="Q261" s="153">
        <v>706</v>
      </c>
      <c r="R261" s="151"/>
      <c r="S261" s="153"/>
      <c r="T261" s="151"/>
      <c r="U261" s="153"/>
      <c r="V261" s="151"/>
      <c r="W261" s="153"/>
      <c r="X261" s="151"/>
      <c r="Y261" s="153"/>
      <c r="Z261" s="61">
        <f t="shared" si="43"/>
        <v>10143</v>
      </c>
      <c r="AA261" s="75">
        <f t="shared" si="43"/>
        <v>10696</v>
      </c>
      <c r="AB261" s="151">
        <v>30</v>
      </c>
      <c r="AC261" s="153">
        <v>30</v>
      </c>
      <c r="AD261" s="151">
        <v>300</v>
      </c>
      <c r="AE261" s="153">
        <v>300</v>
      </c>
      <c r="AF261" s="151">
        <v>450</v>
      </c>
      <c r="AG261" s="153">
        <v>500</v>
      </c>
      <c r="AH261" s="151">
        <v>1892</v>
      </c>
      <c r="AI261" s="153">
        <v>1851</v>
      </c>
      <c r="AJ261" s="151"/>
      <c r="AK261" s="153"/>
      <c r="AL261" s="151"/>
      <c r="AM261" s="153"/>
      <c r="AN261" s="151"/>
      <c r="AO261" s="153"/>
      <c r="AP261" s="61">
        <f t="shared" si="44"/>
        <v>12815</v>
      </c>
      <c r="AQ261" s="75">
        <f t="shared" si="39"/>
        <v>13377</v>
      </c>
      <c r="AR261" s="150" t="s">
        <v>80</v>
      </c>
      <c r="AS261" s="21">
        <f t="shared" si="32"/>
        <v>562</v>
      </c>
      <c r="AT261" s="21">
        <f t="shared" si="33"/>
        <v>573</v>
      </c>
      <c r="AU261" s="21">
        <f t="shared" si="34"/>
        <v>-11</v>
      </c>
    </row>
    <row r="262" spans="1:47" x14ac:dyDescent="0.25">
      <c r="A262" s="4" t="s">
        <v>231</v>
      </c>
      <c r="B262" s="4" t="s">
        <v>236</v>
      </c>
      <c r="C262" s="5" t="s">
        <v>73</v>
      </c>
      <c r="D262" s="151"/>
      <c r="E262" s="153"/>
      <c r="F262" s="151"/>
      <c r="G262" s="153"/>
      <c r="H262" s="151"/>
      <c r="I262" s="153"/>
      <c r="J262" s="151"/>
      <c r="K262" s="153"/>
      <c r="L262" s="151">
        <v>582</v>
      </c>
      <c r="M262" s="153">
        <v>582</v>
      </c>
      <c r="N262" s="151">
        <v>20</v>
      </c>
      <c r="O262" s="153">
        <v>20</v>
      </c>
      <c r="P262" s="151"/>
      <c r="Q262" s="153"/>
      <c r="R262" s="151">
        <v>994</v>
      </c>
      <c r="S262" s="153">
        <v>950</v>
      </c>
      <c r="T262" s="151"/>
      <c r="U262" s="153"/>
      <c r="V262" s="151"/>
      <c r="W262" s="153"/>
      <c r="X262" s="151"/>
      <c r="Y262" s="153"/>
      <c r="Z262" s="61">
        <f t="shared" si="43"/>
        <v>1596</v>
      </c>
      <c r="AA262" s="75">
        <f t="shared" si="43"/>
        <v>1552</v>
      </c>
      <c r="AB262" s="151"/>
      <c r="AC262" s="153"/>
      <c r="AD262" s="151">
        <v>750</v>
      </c>
      <c r="AE262" s="153">
        <v>400</v>
      </c>
      <c r="AF262" s="151">
        <v>1100</v>
      </c>
      <c r="AG262" s="153">
        <v>700</v>
      </c>
      <c r="AH262" s="151"/>
      <c r="AI262" s="153"/>
      <c r="AJ262" s="151"/>
      <c r="AK262" s="153"/>
      <c r="AL262" s="151"/>
      <c r="AM262" s="153"/>
      <c r="AN262" s="151"/>
      <c r="AO262" s="153"/>
      <c r="AP262" s="61">
        <f t="shared" si="44"/>
        <v>3446</v>
      </c>
      <c r="AQ262" s="75">
        <f t="shared" si="39"/>
        <v>2652</v>
      </c>
      <c r="AR262" s="150" t="s">
        <v>74</v>
      </c>
      <c r="AS262" s="21">
        <f t="shared" si="32"/>
        <v>-794</v>
      </c>
      <c r="AT262" s="21">
        <f t="shared" si="33"/>
        <v>0</v>
      </c>
      <c r="AU262" s="21">
        <f t="shared" si="34"/>
        <v>-794</v>
      </c>
    </row>
    <row r="263" spans="1:47" x14ac:dyDescent="0.25">
      <c r="A263" s="4" t="s">
        <v>231</v>
      </c>
      <c r="B263" s="4" t="s">
        <v>77</v>
      </c>
      <c r="C263" s="5" t="s">
        <v>73</v>
      </c>
      <c r="D263" s="151">
        <v>19954</v>
      </c>
      <c r="E263" s="153">
        <v>20036</v>
      </c>
      <c r="F263" s="151">
        <v>300</v>
      </c>
      <c r="G263" s="153">
        <v>300</v>
      </c>
      <c r="H263" s="151"/>
      <c r="I263" s="153"/>
      <c r="J263" s="151">
        <v>224</v>
      </c>
      <c r="K263" s="153">
        <v>160</v>
      </c>
      <c r="L263" s="151">
        <v>1200</v>
      </c>
      <c r="M263" s="153">
        <v>1200</v>
      </c>
      <c r="N263" s="151">
        <v>220</v>
      </c>
      <c r="O263" s="153">
        <v>220</v>
      </c>
      <c r="P263" s="151">
        <v>2573</v>
      </c>
      <c r="Q263" s="153">
        <v>2573</v>
      </c>
      <c r="R263" s="151">
        <v>448</v>
      </c>
      <c r="S263" s="153">
        <v>420</v>
      </c>
      <c r="T263" s="151"/>
      <c r="U263" s="153"/>
      <c r="V263" s="151"/>
      <c r="W263" s="153"/>
      <c r="X263" s="151"/>
      <c r="Y263" s="153"/>
      <c r="Z263" s="61">
        <f t="shared" si="43"/>
        <v>24919</v>
      </c>
      <c r="AA263" s="75">
        <f t="shared" si="43"/>
        <v>24909</v>
      </c>
      <c r="AB263" s="151">
        <v>80</v>
      </c>
      <c r="AC263" s="153">
        <v>50</v>
      </c>
      <c r="AD263" s="151">
        <v>1000</v>
      </c>
      <c r="AE263" s="153">
        <v>1000</v>
      </c>
      <c r="AF263" s="151">
        <v>2600</v>
      </c>
      <c r="AG263" s="153">
        <v>2500</v>
      </c>
      <c r="AH263" s="151"/>
      <c r="AI263" s="153"/>
      <c r="AJ263" s="151"/>
      <c r="AK263" s="153"/>
      <c r="AL263" s="151"/>
      <c r="AM263" s="153"/>
      <c r="AN263" s="151"/>
      <c r="AO263" s="153"/>
      <c r="AP263" s="61">
        <f t="shared" si="44"/>
        <v>28599</v>
      </c>
      <c r="AQ263" s="75">
        <f t="shared" si="39"/>
        <v>28459</v>
      </c>
      <c r="AR263" s="150" t="s">
        <v>74</v>
      </c>
      <c r="AS263" s="21">
        <f t="shared" si="32"/>
        <v>-140</v>
      </c>
      <c r="AT263" s="21">
        <f t="shared" si="33"/>
        <v>82</v>
      </c>
      <c r="AU263" s="21">
        <f t="shared" si="34"/>
        <v>-222</v>
      </c>
    </row>
    <row r="264" spans="1:47" x14ac:dyDescent="0.25">
      <c r="A264" s="4" t="s">
        <v>231</v>
      </c>
      <c r="B264" s="4" t="s">
        <v>237</v>
      </c>
      <c r="C264" s="5" t="s">
        <v>73</v>
      </c>
      <c r="D264" s="151"/>
      <c r="E264" s="153"/>
      <c r="F264" s="151"/>
      <c r="G264" s="153"/>
      <c r="H264" s="151"/>
      <c r="I264" s="153"/>
      <c r="J264" s="151"/>
      <c r="K264" s="153"/>
      <c r="L264" s="151"/>
      <c r="M264" s="153"/>
      <c r="N264" s="151"/>
      <c r="O264" s="153"/>
      <c r="P264" s="151"/>
      <c r="Q264" s="153"/>
      <c r="R264" s="151"/>
      <c r="S264" s="153"/>
      <c r="T264" s="151"/>
      <c r="U264" s="153"/>
      <c r="V264" s="151"/>
      <c r="W264" s="153"/>
      <c r="X264" s="151"/>
      <c r="Y264" s="153"/>
      <c r="Z264" s="61">
        <f t="shared" si="43"/>
        <v>0</v>
      </c>
      <c r="AA264" s="75">
        <f t="shared" si="43"/>
        <v>0</v>
      </c>
      <c r="AB264" s="151"/>
      <c r="AC264" s="153"/>
      <c r="AD264" s="151">
        <v>8200</v>
      </c>
      <c r="AE264" s="153">
        <v>6000</v>
      </c>
      <c r="AF264" s="151">
        <v>2680</v>
      </c>
      <c r="AG264" s="153">
        <v>2000</v>
      </c>
      <c r="AH264" s="151"/>
      <c r="AI264" s="153"/>
      <c r="AJ264" s="151"/>
      <c r="AK264" s="153"/>
      <c r="AL264" s="151"/>
      <c r="AM264" s="153"/>
      <c r="AN264" s="151"/>
      <c r="AO264" s="153"/>
      <c r="AP264" s="61">
        <f t="shared" si="44"/>
        <v>10880</v>
      </c>
      <c r="AQ264" s="75">
        <f t="shared" si="39"/>
        <v>8000</v>
      </c>
      <c r="AR264" s="150" t="s">
        <v>74</v>
      </c>
      <c r="AS264" s="21">
        <f t="shared" si="32"/>
        <v>-2880</v>
      </c>
      <c r="AT264" s="21">
        <f t="shared" si="33"/>
        <v>0</v>
      </c>
      <c r="AU264" s="21">
        <f t="shared" si="34"/>
        <v>-2880</v>
      </c>
    </row>
    <row r="265" spans="1:47" x14ac:dyDescent="0.25">
      <c r="A265" s="4" t="s">
        <v>231</v>
      </c>
      <c r="B265" s="4" t="s">
        <v>238</v>
      </c>
      <c r="C265" s="5" t="s">
        <v>82</v>
      </c>
      <c r="D265" s="151">
        <v>20996</v>
      </c>
      <c r="E265" s="153">
        <v>20145</v>
      </c>
      <c r="F265" s="151"/>
      <c r="G265" s="153"/>
      <c r="H265" s="151"/>
      <c r="I265" s="153"/>
      <c r="J265" s="151">
        <v>1160</v>
      </c>
      <c r="K265" s="153">
        <v>900</v>
      </c>
      <c r="L265" s="151">
        <v>2877</v>
      </c>
      <c r="M265" s="153">
        <v>2877</v>
      </c>
      <c r="N265" s="151">
        <v>250</v>
      </c>
      <c r="O265" s="153">
        <v>228</v>
      </c>
      <c r="P265" s="151">
        <v>4664</v>
      </c>
      <c r="Q265" s="153">
        <v>4664</v>
      </c>
      <c r="R265" s="151"/>
      <c r="S265" s="153"/>
      <c r="T265" s="151">
        <v>4629</v>
      </c>
      <c r="U265" s="153">
        <v>4784</v>
      </c>
      <c r="V265" s="151"/>
      <c r="W265" s="153"/>
      <c r="X265" s="151"/>
      <c r="Y265" s="153"/>
      <c r="Z265" s="61">
        <f t="shared" si="43"/>
        <v>34576</v>
      </c>
      <c r="AA265" s="75">
        <f t="shared" si="43"/>
        <v>33598</v>
      </c>
      <c r="AB265" s="151">
        <v>50</v>
      </c>
      <c r="AC265" s="153">
        <v>50</v>
      </c>
      <c r="AD265" s="151">
        <v>300</v>
      </c>
      <c r="AE265" s="153">
        <v>300</v>
      </c>
      <c r="AF265" s="151">
        <v>1000</v>
      </c>
      <c r="AG265" s="153">
        <v>900</v>
      </c>
      <c r="AH265" s="151"/>
      <c r="AI265" s="153"/>
      <c r="AJ265" s="151"/>
      <c r="AK265" s="153"/>
      <c r="AL265" s="151"/>
      <c r="AM265" s="153"/>
      <c r="AN265" s="151"/>
      <c r="AO265" s="153"/>
      <c r="AP265" s="61">
        <f t="shared" si="44"/>
        <v>35926</v>
      </c>
      <c r="AQ265" s="75">
        <f t="shared" si="39"/>
        <v>34848</v>
      </c>
      <c r="AR265" s="150" t="s">
        <v>128</v>
      </c>
      <c r="AS265" s="21">
        <f t="shared" ref="AS265:AS328" si="45">$AQ265-$AP265</f>
        <v>-1078</v>
      </c>
      <c r="AT265" s="21">
        <f t="shared" ref="AT265:AT328" si="46">$E265-$D265</f>
        <v>-851</v>
      </c>
      <c r="AU265" s="21">
        <f t="shared" ref="AU265:AU328" si="47">AQ265-E265-AP265+D265</f>
        <v>-227</v>
      </c>
    </row>
    <row r="266" spans="1:47" ht="26.25" x14ac:dyDescent="0.25">
      <c r="A266" s="4" t="s">
        <v>231</v>
      </c>
      <c r="B266" s="4" t="s">
        <v>206</v>
      </c>
      <c r="C266" s="5" t="s">
        <v>82</v>
      </c>
      <c r="D266" s="151">
        <f>16777+415</f>
        <v>17192</v>
      </c>
      <c r="E266" s="153">
        <v>21406</v>
      </c>
      <c r="F266" s="151"/>
      <c r="G266" s="153"/>
      <c r="H266" s="151"/>
      <c r="I266" s="153"/>
      <c r="J266" s="151"/>
      <c r="K266" s="153"/>
      <c r="L266" s="151"/>
      <c r="M266" s="153"/>
      <c r="N266" s="151"/>
      <c r="O266" s="153"/>
      <c r="P266" s="151"/>
      <c r="Q266" s="153"/>
      <c r="R266" s="151"/>
      <c r="S266" s="153"/>
      <c r="T266" s="151"/>
      <c r="U266" s="153"/>
      <c r="V266" s="151"/>
      <c r="W266" s="153"/>
      <c r="X266" s="151"/>
      <c r="Y266" s="153"/>
      <c r="Z266" s="61">
        <f t="shared" si="43"/>
        <v>17192</v>
      </c>
      <c r="AA266" s="75">
        <f t="shared" si="43"/>
        <v>21406</v>
      </c>
      <c r="AB266" s="151"/>
      <c r="AC266" s="153"/>
      <c r="AD266" s="151"/>
      <c r="AE266" s="153"/>
      <c r="AF266" s="151"/>
      <c r="AG266" s="153"/>
      <c r="AH266" s="151"/>
      <c r="AI266" s="153"/>
      <c r="AJ266" s="151"/>
      <c r="AK266" s="153"/>
      <c r="AL266" s="151"/>
      <c r="AM266" s="153"/>
      <c r="AN266" s="151"/>
      <c r="AO266" s="153"/>
      <c r="AP266" s="61">
        <f t="shared" si="44"/>
        <v>17192</v>
      </c>
      <c r="AQ266" s="75">
        <f t="shared" si="39"/>
        <v>21406</v>
      </c>
      <c r="AR266" s="150" t="s">
        <v>128</v>
      </c>
      <c r="AS266" s="21">
        <f t="shared" si="45"/>
        <v>4214</v>
      </c>
      <c r="AT266" s="21">
        <f t="shared" si="46"/>
        <v>4214</v>
      </c>
      <c r="AU266" s="21">
        <f t="shared" si="47"/>
        <v>0</v>
      </c>
    </row>
    <row r="267" spans="1:47" x14ac:dyDescent="0.25">
      <c r="A267" s="4" t="s">
        <v>231</v>
      </c>
      <c r="B267" s="4" t="s">
        <v>85</v>
      </c>
      <c r="C267" s="5" t="s">
        <v>86</v>
      </c>
      <c r="D267" s="151">
        <v>36066</v>
      </c>
      <c r="E267" s="153">
        <v>39672</v>
      </c>
      <c r="F267" s="151">
        <v>990</v>
      </c>
      <c r="G267" s="153">
        <v>990</v>
      </c>
      <c r="H267" s="151"/>
      <c r="I267" s="153"/>
      <c r="J267" s="151">
        <v>2200</v>
      </c>
      <c r="K267" s="153">
        <v>2000</v>
      </c>
      <c r="L267" s="151">
        <v>6267</v>
      </c>
      <c r="M267" s="153">
        <v>6267</v>
      </c>
      <c r="N267" s="151">
        <v>228</v>
      </c>
      <c r="O267" s="153">
        <v>250</v>
      </c>
      <c r="P267" s="151">
        <v>17487</v>
      </c>
      <c r="Q267" s="153">
        <v>17487</v>
      </c>
      <c r="R267" s="151">
        <v>2310</v>
      </c>
      <c r="S267" s="153">
        <v>2200</v>
      </c>
      <c r="T267" s="151">
        <v>1963</v>
      </c>
      <c r="U267" s="153">
        <v>1963</v>
      </c>
      <c r="V267" s="151"/>
      <c r="W267" s="153"/>
      <c r="X267" s="151"/>
      <c r="Y267" s="153"/>
      <c r="Z267" s="61">
        <f t="shared" si="43"/>
        <v>67511</v>
      </c>
      <c r="AA267" s="75">
        <f t="shared" si="43"/>
        <v>70829</v>
      </c>
      <c r="AB267" s="151">
        <v>600</v>
      </c>
      <c r="AC267" s="153">
        <v>400</v>
      </c>
      <c r="AD267" s="151">
        <v>6370</v>
      </c>
      <c r="AE267" s="153">
        <v>6000</v>
      </c>
      <c r="AF267" s="151">
        <v>10500</v>
      </c>
      <c r="AG267" s="153">
        <v>9500</v>
      </c>
      <c r="AH267" s="151">
        <v>150</v>
      </c>
      <c r="AI267" s="153">
        <v>150</v>
      </c>
      <c r="AJ267" s="151"/>
      <c r="AK267" s="153"/>
      <c r="AL267" s="151"/>
      <c r="AM267" s="153"/>
      <c r="AN267" s="151">
        <v>150</v>
      </c>
      <c r="AO267" s="153">
        <v>150</v>
      </c>
      <c r="AP267" s="61">
        <f t="shared" si="44"/>
        <v>85281</v>
      </c>
      <c r="AQ267" s="75">
        <f t="shared" si="39"/>
        <v>87029</v>
      </c>
      <c r="AR267" s="150" t="s">
        <v>128</v>
      </c>
      <c r="AS267" s="21">
        <f t="shared" si="45"/>
        <v>1748</v>
      </c>
      <c r="AT267" s="21">
        <f t="shared" si="46"/>
        <v>3606</v>
      </c>
      <c r="AU267" s="21">
        <f t="shared" si="47"/>
        <v>-1858</v>
      </c>
    </row>
    <row r="268" spans="1:47" ht="26.25" x14ac:dyDescent="0.25">
      <c r="A268" s="4" t="s">
        <v>231</v>
      </c>
      <c r="B268" s="4" t="s">
        <v>87</v>
      </c>
      <c r="C268" s="5" t="s">
        <v>86</v>
      </c>
      <c r="D268" s="151">
        <v>20261</v>
      </c>
      <c r="E268" s="153">
        <v>24085</v>
      </c>
      <c r="F268" s="151"/>
      <c r="G268" s="153"/>
      <c r="H268" s="151"/>
      <c r="I268" s="153"/>
      <c r="J268" s="151"/>
      <c r="K268" s="153"/>
      <c r="L268" s="151"/>
      <c r="M268" s="153"/>
      <c r="N268" s="151"/>
      <c r="O268" s="153"/>
      <c r="P268" s="151"/>
      <c r="Q268" s="153"/>
      <c r="R268" s="151"/>
      <c r="S268" s="153"/>
      <c r="T268" s="151"/>
      <c r="U268" s="153"/>
      <c r="V268" s="151"/>
      <c r="W268" s="153"/>
      <c r="X268" s="151"/>
      <c r="Y268" s="153"/>
      <c r="Z268" s="61">
        <f t="shared" si="43"/>
        <v>20261</v>
      </c>
      <c r="AA268" s="75">
        <f t="shared" si="43"/>
        <v>24085</v>
      </c>
      <c r="AB268" s="151"/>
      <c r="AC268" s="153"/>
      <c r="AD268" s="151"/>
      <c r="AE268" s="153"/>
      <c r="AF268" s="151"/>
      <c r="AG268" s="153"/>
      <c r="AH268" s="151"/>
      <c r="AI268" s="153"/>
      <c r="AJ268" s="151"/>
      <c r="AK268" s="153"/>
      <c r="AL268" s="151"/>
      <c r="AM268" s="153"/>
      <c r="AN268" s="151"/>
      <c r="AO268" s="153"/>
      <c r="AP268" s="61">
        <f t="shared" si="44"/>
        <v>20261</v>
      </c>
      <c r="AQ268" s="75">
        <f t="shared" si="39"/>
        <v>24085</v>
      </c>
      <c r="AR268" s="150" t="s">
        <v>128</v>
      </c>
      <c r="AS268" s="21">
        <f t="shared" si="45"/>
        <v>3824</v>
      </c>
      <c r="AT268" s="21">
        <f t="shared" si="46"/>
        <v>3824</v>
      </c>
      <c r="AU268" s="21">
        <f t="shared" si="47"/>
        <v>0</v>
      </c>
    </row>
    <row r="269" spans="1:47" ht="26.25" x14ac:dyDescent="0.25">
      <c r="A269" s="4" t="s">
        <v>231</v>
      </c>
      <c r="B269" s="4" t="s">
        <v>88</v>
      </c>
      <c r="C269" s="5" t="s">
        <v>86</v>
      </c>
      <c r="D269" s="151"/>
      <c r="E269" s="153"/>
      <c r="F269" s="151"/>
      <c r="G269" s="153"/>
      <c r="H269" s="151"/>
      <c r="I269" s="153"/>
      <c r="J269" s="151"/>
      <c r="K269" s="153"/>
      <c r="L269" s="151"/>
      <c r="M269" s="153"/>
      <c r="N269" s="151"/>
      <c r="O269" s="153"/>
      <c r="P269" s="151"/>
      <c r="Q269" s="153"/>
      <c r="R269" s="151"/>
      <c r="S269" s="153"/>
      <c r="T269" s="151">
        <v>1908</v>
      </c>
      <c r="U269" s="153">
        <v>1977</v>
      </c>
      <c r="V269" s="151"/>
      <c r="W269" s="153"/>
      <c r="X269" s="151"/>
      <c r="Y269" s="153"/>
      <c r="Z269" s="61">
        <f t="shared" si="43"/>
        <v>1908</v>
      </c>
      <c r="AA269" s="75">
        <f t="shared" si="43"/>
        <v>1977</v>
      </c>
      <c r="AB269" s="151"/>
      <c r="AC269" s="153"/>
      <c r="AD269" s="151"/>
      <c r="AE269" s="153"/>
      <c r="AF269" s="151"/>
      <c r="AG269" s="153"/>
      <c r="AH269" s="151"/>
      <c r="AI269" s="153"/>
      <c r="AJ269" s="151"/>
      <c r="AK269" s="153"/>
      <c r="AL269" s="151"/>
      <c r="AM269" s="153"/>
      <c r="AN269" s="151"/>
      <c r="AO269" s="153"/>
      <c r="AP269" s="61">
        <f t="shared" si="44"/>
        <v>1908</v>
      </c>
      <c r="AQ269" s="75">
        <f t="shared" si="39"/>
        <v>1977</v>
      </c>
      <c r="AR269" s="150" t="s">
        <v>128</v>
      </c>
      <c r="AS269" s="21">
        <f t="shared" si="45"/>
        <v>69</v>
      </c>
      <c r="AT269" s="21">
        <f t="shared" si="46"/>
        <v>0</v>
      </c>
      <c r="AU269" s="21">
        <f t="shared" si="47"/>
        <v>69</v>
      </c>
    </row>
    <row r="270" spans="1:47" x14ac:dyDescent="0.25">
      <c r="A270" s="4" t="s">
        <v>231</v>
      </c>
      <c r="B270" s="4" t="s">
        <v>97</v>
      </c>
      <c r="C270" s="5" t="s">
        <v>96</v>
      </c>
      <c r="D270" s="151"/>
      <c r="E270" s="153"/>
      <c r="F270" s="151"/>
      <c r="G270" s="153"/>
      <c r="H270" s="151"/>
      <c r="I270" s="153"/>
      <c r="J270" s="151"/>
      <c r="K270" s="153"/>
      <c r="L270" s="151"/>
      <c r="M270" s="153"/>
      <c r="N270" s="151"/>
      <c r="O270" s="153"/>
      <c r="P270" s="151"/>
      <c r="Q270" s="153"/>
      <c r="R270" s="151"/>
      <c r="S270" s="153"/>
      <c r="T270" s="151"/>
      <c r="U270" s="153"/>
      <c r="V270" s="151">
        <v>11533</v>
      </c>
      <c r="W270" s="153">
        <v>11530</v>
      </c>
      <c r="X270" s="151"/>
      <c r="Y270" s="153"/>
      <c r="Z270" s="61">
        <f t="shared" si="43"/>
        <v>11533</v>
      </c>
      <c r="AA270" s="75">
        <f t="shared" si="43"/>
        <v>11530</v>
      </c>
      <c r="AB270" s="151"/>
      <c r="AC270" s="153"/>
      <c r="AD270" s="151"/>
      <c r="AE270" s="153"/>
      <c r="AF270" s="151"/>
      <c r="AG270" s="153"/>
      <c r="AH270" s="151"/>
      <c r="AI270" s="153"/>
      <c r="AJ270" s="151"/>
      <c r="AK270" s="153"/>
      <c r="AL270" s="151"/>
      <c r="AM270" s="153"/>
      <c r="AN270" s="151">
        <v>111</v>
      </c>
      <c r="AO270" s="153">
        <v>111</v>
      </c>
      <c r="AP270" s="61">
        <f t="shared" si="44"/>
        <v>11644</v>
      </c>
      <c r="AQ270" s="75">
        <f t="shared" si="39"/>
        <v>11641</v>
      </c>
      <c r="AR270" s="150" t="s">
        <v>80</v>
      </c>
      <c r="AS270" s="21">
        <f t="shared" si="45"/>
        <v>-3</v>
      </c>
      <c r="AT270" s="21">
        <f t="shared" si="46"/>
        <v>0</v>
      </c>
      <c r="AU270" s="21">
        <f t="shared" si="47"/>
        <v>-3</v>
      </c>
    </row>
    <row r="271" spans="1:47" ht="26.25" x14ac:dyDescent="0.25">
      <c r="A271" s="4" t="s">
        <v>231</v>
      </c>
      <c r="B271" s="4" t="s">
        <v>95</v>
      </c>
      <c r="C271" s="5" t="s">
        <v>96</v>
      </c>
      <c r="D271" s="151"/>
      <c r="E271" s="153"/>
      <c r="F271" s="151"/>
      <c r="G271" s="153"/>
      <c r="H271" s="151"/>
      <c r="I271" s="153"/>
      <c r="J271" s="151"/>
      <c r="K271" s="153"/>
      <c r="L271" s="151"/>
      <c r="M271" s="153"/>
      <c r="N271" s="151"/>
      <c r="O271" s="153"/>
      <c r="P271" s="151"/>
      <c r="Q271" s="153"/>
      <c r="R271" s="151"/>
      <c r="S271" s="153"/>
      <c r="T271" s="151"/>
      <c r="U271" s="153"/>
      <c r="V271" s="151">
        <v>3575</v>
      </c>
      <c r="W271" s="153">
        <v>3575</v>
      </c>
      <c r="X271" s="151"/>
      <c r="Y271" s="153"/>
      <c r="Z271" s="61">
        <f t="shared" si="43"/>
        <v>3575</v>
      </c>
      <c r="AA271" s="75">
        <f t="shared" si="43"/>
        <v>3575</v>
      </c>
      <c r="AB271" s="151"/>
      <c r="AC271" s="153"/>
      <c r="AD271" s="151"/>
      <c r="AE271" s="153"/>
      <c r="AF271" s="151"/>
      <c r="AG271" s="153"/>
      <c r="AH271" s="151"/>
      <c r="AI271" s="153"/>
      <c r="AJ271" s="151"/>
      <c r="AK271" s="153"/>
      <c r="AL271" s="151"/>
      <c r="AM271" s="153"/>
      <c r="AN271" s="151"/>
      <c r="AO271" s="153"/>
      <c r="AP271" s="61">
        <f t="shared" si="44"/>
        <v>3575</v>
      </c>
      <c r="AQ271" s="75">
        <f t="shared" si="39"/>
        <v>3575</v>
      </c>
      <c r="AR271" s="150" t="s">
        <v>80</v>
      </c>
      <c r="AS271" s="21">
        <f t="shared" si="45"/>
        <v>0</v>
      </c>
      <c r="AT271" s="21">
        <f t="shared" si="46"/>
        <v>0</v>
      </c>
      <c r="AU271" s="21">
        <f t="shared" si="47"/>
        <v>0</v>
      </c>
    </row>
    <row r="272" spans="1:47" ht="30" x14ac:dyDescent="0.25">
      <c r="A272" s="4" t="s">
        <v>231</v>
      </c>
      <c r="B272" s="4" t="s">
        <v>100</v>
      </c>
      <c r="C272" s="5" t="s">
        <v>101</v>
      </c>
      <c r="D272" s="151"/>
      <c r="E272" s="153"/>
      <c r="F272" s="151"/>
      <c r="G272" s="153"/>
      <c r="H272" s="151"/>
      <c r="I272" s="153"/>
      <c r="J272" s="151"/>
      <c r="K272" s="153"/>
      <c r="L272" s="151"/>
      <c r="M272" s="153"/>
      <c r="N272" s="151"/>
      <c r="O272" s="153"/>
      <c r="P272" s="151"/>
      <c r="Q272" s="153"/>
      <c r="R272" s="151"/>
      <c r="S272" s="153"/>
      <c r="T272" s="151"/>
      <c r="U272" s="153"/>
      <c r="V272" s="151"/>
      <c r="W272" s="153"/>
      <c r="X272" s="151"/>
      <c r="Y272" s="153"/>
      <c r="Z272" s="61">
        <f t="shared" si="43"/>
        <v>0</v>
      </c>
      <c r="AA272" s="75">
        <f t="shared" si="43"/>
        <v>0</v>
      </c>
      <c r="AB272" s="151"/>
      <c r="AC272" s="153"/>
      <c r="AD272" s="151"/>
      <c r="AE272" s="153"/>
      <c r="AF272" s="151"/>
      <c r="AG272" s="153"/>
      <c r="AH272" s="151"/>
      <c r="AI272" s="153"/>
      <c r="AJ272" s="151"/>
      <c r="AK272" s="153"/>
      <c r="AL272" s="151">
        <v>10858</v>
      </c>
      <c r="AM272" s="153">
        <v>10858</v>
      </c>
      <c r="AN272" s="151"/>
      <c r="AO272" s="153"/>
      <c r="AP272" s="61">
        <f t="shared" si="44"/>
        <v>10858</v>
      </c>
      <c r="AQ272" s="75">
        <f t="shared" si="39"/>
        <v>10858</v>
      </c>
      <c r="AR272" s="150" t="s">
        <v>102</v>
      </c>
      <c r="AS272" s="21">
        <f t="shared" si="45"/>
        <v>0</v>
      </c>
      <c r="AT272" s="21">
        <f t="shared" si="46"/>
        <v>0</v>
      </c>
      <c r="AU272" s="21">
        <f t="shared" si="47"/>
        <v>0</v>
      </c>
    </row>
    <row r="273" spans="1:47" x14ac:dyDescent="0.25">
      <c r="A273" s="4" t="s">
        <v>231</v>
      </c>
      <c r="B273" s="4" t="s">
        <v>105</v>
      </c>
      <c r="C273" s="5"/>
      <c r="D273" s="151">
        <v>6456</v>
      </c>
      <c r="E273" s="153">
        <v>7184</v>
      </c>
      <c r="F273" s="151"/>
      <c r="G273" s="153"/>
      <c r="H273" s="151"/>
      <c r="I273" s="153"/>
      <c r="J273" s="151"/>
      <c r="K273" s="153"/>
      <c r="L273" s="151"/>
      <c r="M273" s="153"/>
      <c r="N273" s="151"/>
      <c r="O273" s="153"/>
      <c r="P273" s="151"/>
      <c r="Q273" s="153"/>
      <c r="R273" s="151"/>
      <c r="S273" s="153"/>
      <c r="T273" s="151"/>
      <c r="U273" s="153"/>
      <c r="V273" s="151"/>
      <c r="W273" s="153"/>
      <c r="X273" s="151"/>
      <c r="Y273" s="153"/>
      <c r="Z273" s="61">
        <f t="shared" si="43"/>
        <v>6456</v>
      </c>
      <c r="AA273" s="75">
        <f t="shared" si="43"/>
        <v>7184</v>
      </c>
      <c r="AB273" s="151"/>
      <c r="AC273" s="153"/>
      <c r="AD273" s="151"/>
      <c r="AE273" s="153"/>
      <c r="AF273" s="151"/>
      <c r="AG273" s="153"/>
      <c r="AH273" s="151"/>
      <c r="AI273" s="153"/>
      <c r="AJ273" s="151"/>
      <c r="AK273" s="153"/>
      <c r="AL273" s="151"/>
      <c r="AM273" s="153"/>
      <c r="AN273" s="151"/>
      <c r="AO273" s="153"/>
      <c r="AP273" s="61">
        <f t="shared" si="44"/>
        <v>6456</v>
      </c>
      <c r="AQ273" s="75">
        <f t="shared" si="39"/>
        <v>7184</v>
      </c>
      <c r="AR273" s="150" t="s">
        <v>58</v>
      </c>
      <c r="AS273" s="21">
        <f t="shared" si="45"/>
        <v>728</v>
      </c>
      <c r="AT273" s="21">
        <f t="shared" si="46"/>
        <v>728</v>
      </c>
      <c r="AU273" s="21">
        <f t="shared" si="47"/>
        <v>0</v>
      </c>
    </row>
    <row r="274" spans="1:47" x14ac:dyDescent="0.25">
      <c r="A274" s="4" t="s">
        <v>231</v>
      </c>
      <c r="B274" s="4" t="s">
        <v>106</v>
      </c>
      <c r="C274" s="5"/>
      <c r="D274" s="151">
        <v>5570</v>
      </c>
      <c r="E274" s="153">
        <v>6208</v>
      </c>
      <c r="F274" s="151"/>
      <c r="G274" s="153"/>
      <c r="H274" s="151"/>
      <c r="I274" s="153"/>
      <c r="J274" s="151"/>
      <c r="K274" s="153"/>
      <c r="L274" s="151"/>
      <c r="M274" s="153"/>
      <c r="N274" s="151"/>
      <c r="O274" s="153"/>
      <c r="P274" s="151"/>
      <c r="Q274" s="153"/>
      <c r="R274" s="151"/>
      <c r="S274" s="153"/>
      <c r="T274" s="151"/>
      <c r="U274" s="153"/>
      <c r="V274" s="151"/>
      <c r="W274" s="153"/>
      <c r="X274" s="151"/>
      <c r="Y274" s="153"/>
      <c r="Z274" s="61">
        <f t="shared" si="43"/>
        <v>5570</v>
      </c>
      <c r="AA274" s="75">
        <f t="shared" si="43"/>
        <v>6208</v>
      </c>
      <c r="AB274" s="151"/>
      <c r="AC274" s="153"/>
      <c r="AD274" s="151"/>
      <c r="AE274" s="153"/>
      <c r="AF274" s="151"/>
      <c r="AG274" s="153"/>
      <c r="AH274" s="151"/>
      <c r="AI274" s="153"/>
      <c r="AJ274" s="151"/>
      <c r="AK274" s="153"/>
      <c r="AL274" s="151"/>
      <c r="AM274" s="153"/>
      <c r="AN274" s="151"/>
      <c r="AO274" s="153"/>
      <c r="AP274" s="61">
        <f t="shared" si="44"/>
        <v>5570</v>
      </c>
      <c r="AQ274" s="75">
        <f t="shared" si="39"/>
        <v>6208</v>
      </c>
      <c r="AR274" s="150" t="s">
        <v>58</v>
      </c>
      <c r="AS274" s="21">
        <f t="shared" si="45"/>
        <v>638</v>
      </c>
      <c r="AT274" s="21">
        <f t="shared" si="46"/>
        <v>638</v>
      </c>
      <c r="AU274" s="21">
        <f t="shared" si="47"/>
        <v>0</v>
      </c>
    </row>
    <row r="275" spans="1:47" ht="30" x14ac:dyDescent="0.25">
      <c r="A275" s="4" t="s">
        <v>231</v>
      </c>
      <c r="B275" s="4" t="s">
        <v>239</v>
      </c>
      <c r="C275" s="5" t="s">
        <v>104</v>
      </c>
      <c r="D275" s="151"/>
      <c r="E275" s="153"/>
      <c r="F275" s="151">
        <v>250</v>
      </c>
      <c r="G275" s="153">
        <v>250</v>
      </c>
      <c r="H275" s="151"/>
      <c r="I275" s="153"/>
      <c r="J275" s="151">
        <v>42</v>
      </c>
      <c r="K275" s="153">
        <v>30</v>
      </c>
      <c r="L275" s="151">
        <v>171</v>
      </c>
      <c r="M275" s="153">
        <v>171</v>
      </c>
      <c r="N275" s="151">
        <v>42</v>
      </c>
      <c r="O275" s="153">
        <v>42</v>
      </c>
      <c r="P275" s="151">
        <v>184</v>
      </c>
      <c r="Q275" s="153">
        <v>184</v>
      </c>
      <c r="R275" s="151">
        <v>1286</v>
      </c>
      <c r="S275" s="153">
        <v>1250</v>
      </c>
      <c r="T275" s="151"/>
      <c r="U275" s="153"/>
      <c r="V275" s="151"/>
      <c r="W275" s="153"/>
      <c r="X275" s="151"/>
      <c r="Y275" s="153"/>
      <c r="Z275" s="61">
        <f t="shared" si="43"/>
        <v>1975</v>
      </c>
      <c r="AA275" s="75">
        <f t="shared" si="43"/>
        <v>1927</v>
      </c>
      <c r="AB275" s="151">
        <v>50</v>
      </c>
      <c r="AC275" s="153">
        <v>50</v>
      </c>
      <c r="AD275" s="151">
        <v>100</v>
      </c>
      <c r="AE275" s="153">
        <v>100</v>
      </c>
      <c r="AF275" s="151">
        <v>300</v>
      </c>
      <c r="AG275" s="153">
        <v>300</v>
      </c>
      <c r="AH275" s="151"/>
      <c r="AI275" s="153"/>
      <c r="AJ275" s="151"/>
      <c r="AK275" s="153"/>
      <c r="AL275" s="151"/>
      <c r="AM275" s="153"/>
      <c r="AN275" s="151"/>
      <c r="AO275" s="153"/>
      <c r="AP275" s="61">
        <f t="shared" si="44"/>
        <v>2425</v>
      </c>
      <c r="AQ275" s="75">
        <f t="shared" si="39"/>
        <v>2377</v>
      </c>
      <c r="AR275" s="150" t="s">
        <v>102</v>
      </c>
      <c r="AS275" s="21">
        <f t="shared" si="45"/>
        <v>-48</v>
      </c>
      <c r="AT275" s="21">
        <f t="shared" si="46"/>
        <v>0</v>
      </c>
      <c r="AU275" s="21">
        <f t="shared" si="47"/>
        <v>-48</v>
      </c>
    </row>
    <row r="276" spans="1:47" x14ac:dyDescent="0.25">
      <c r="A276" s="4" t="s">
        <v>231</v>
      </c>
      <c r="B276" s="4" t="s">
        <v>90</v>
      </c>
      <c r="C276" s="5" t="s">
        <v>86</v>
      </c>
      <c r="D276" s="151"/>
      <c r="E276" s="153"/>
      <c r="F276" s="151"/>
      <c r="G276" s="153"/>
      <c r="H276" s="151"/>
      <c r="I276" s="153"/>
      <c r="J276" s="151"/>
      <c r="K276" s="153"/>
      <c r="L276" s="151"/>
      <c r="M276" s="153"/>
      <c r="N276" s="151"/>
      <c r="O276" s="153"/>
      <c r="P276" s="151"/>
      <c r="Q276" s="153"/>
      <c r="R276" s="151"/>
      <c r="S276" s="153"/>
      <c r="T276" s="151">
        <v>1796</v>
      </c>
      <c r="U276" s="153">
        <v>1596</v>
      </c>
      <c r="V276" s="151"/>
      <c r="W276" s="153"/>
      <c r="X276" s="151"/>
      <c r="Y276" s="153"/>
      <c r="Z276" s="61">
        <f t="shared" si="43"/>
        <v>1796</v>
      </c>
      <c r="AA276" s="75">
        <f t="shared" si="43"/>
        <v>1596</v>
      </c>
      <c r="AB276" s="151"/>
      <c r="AC276" s="153"/>
      <c r="AD276" s="151"/>
      <c r="AE276" s="153"/>
      <c r="AF276" s="151"/>
      <c r="AG276" s="153"/>
      <c r="AH276" s="151"/>
      <c r="AI276" s="153"/>
      <c r="AJ276" s="151"/>
      <c r="AK276" s="153"/>
      <c r="AL276" s="151"/>
      <c r="AM276" s="153"/>
      <c r="AN276" s="151"/>
      <c r="AO276" s="153"/>
      <c r="AP276" s="61">
        <f t="shared" si="44"/>
        <v>1796</v>
      </c>
      <c r="AQ276" s="75">
        <f t="shared" si="39"/>
        <v>1596</v>
      </c>
      <c r="AR276" s="150" t="s">
        <v>58</v>
      </c>
      <c r="AS276" s="21">
        <f t="shared" si="45"/>
        <v>-200</v>
      </c>
      <c r="AT276" s="21">
        <f t="shared" si="46"/>
        <v>0</v>
      </c>
      <c r="AU276" s="21">
        <f t="shared" si="47"/>
        <v>-200</v>
      </c>
    </row>
    <row r="277" spans="1:47" x14ac:dyDescent="0.25">
      <c r="A277" s="16" t="s">
        <v>240</v>
      </c>
      <c r="B277" s="16" t="s">
        <v>108</v>
      </c>
      <c r="C277" s="17"/>
      <c r="D277" s="18">
        <f t="shared" ref="D277:AQ277" si="48">SUM(D253:D276)</f>
        <v>317569</v>
      </c>
      <c r="E277" s="105">
        <f t="shared" si="48"/>
        <v>353249</v>
      </c>
      <c r="F277" s="18">
        <f t="shared" si="48"/>
        <v>2342</v>
      </c>
      <c r="G277" s="18">
        <f t="shared" si="48"/>
        <v>2342</v>
      </c>
      <c r="H277" s="18">
        <f t="shared" si="48"/>
        <v>0</v>
      </c>
      <c r="I277" s="18">
        <f t="shared" si="48"/>
        <v>0</v>
      </c>
      <c r="J277" s="18">
        <f t="shared" si="48"/>
        <v>5786</v>
      </c>
      <c r="K277" s="18">
        <f t="shared" si="48"/>
        <v>5000</v>
      </c>
      <c r="L277" s="18">
        <f t="shared" si="48"/>
        <v>20123</v>
      </c>
      <c r="M277" s="18">
        <f t="shared" si="48"/>
        <v>20123</v>
      </c>
      <c r="N277" s="18">
        <f t="shared" si="48"/>
        <v>1669</v>
      </c>
      <c r="O277" s="18">
        <f t="shared" si="48"/>
        <v>1669</v>
      </c>
      <c r="P277" s="18">
        <f t="shared" si="48"/>
        <v>30421</v>
      </c>
      <c r="Q277" s="18">
        <f t="shared" si="48"/>
        <v>30421</v>
      </c>
      <c r="R277" s="18">
        <f t="shared" si="48"/>
        <v>15131</v>
      </c>
      <c r="S277" s="18">
        <f t="shared" si="48"/>
        <v>14210</v>
      </c>
      <c r="T277" s="18">
        <f t="shared" si="48"/>
        <v>10296</v>
      </c>
      <c r="U277" s="18">
        <f t="shared" si="48"/>
        <v>10320</v>
      </c>
      <c r="V277" s="18">
        <f t="shared" si="48"/>
        <v>15108</v>
      </c>
      <c r="W277" s="18">
        <f t="shared" si="48"/>
        <v>15105</v>
      </c>
      <c r="X277" s="18">
        <f t="shared" si="48"/>
        <v>0</v>
      </c>
      <c r="Y277" s="18">
        <f t="shared" si="48"/>
        <v>0</v>
      </c>
      <c r="Z277" s="18">
        <f t="shared" si="48"/>
        <v>418445</v>
      </c>
      <c r="AA277" s="18">
        <f t="shared" si="48"/>
        <v>452439</v>
      </c>
      <c r="AB277" s="18">
        <f t="shared" si="48"/>
        <v>1270</v>
      </c>
      <c r="AC277" s="18">
        <f t="shared" si="48"/>
        <v>750</v>
      </c>
      <c r="AD277" s="18">
        <f t="shared" si="48"/>
        <v>33350</v>
      </c>
      <c r="AE277" s="18">
        <f t="shared" si="48"/>
        <v>29770</v>
      </c>
      <c r="AF277" s="18">
        <f t="shared" si="48"/>
        <v>35769</v>
      </c>
      <c r="AG277" s="18">
        <f t="shared" si="48"/>
        <v>32200</v>
      </c>
      <c r="AH277" s="18">
        <f t="shared" si="48"/>
        <v>2042</v>
      </c>
      <c r="AI277" s="18">
        <f t="shared" si="48"/>
        <v>2001</v>
      </c>
      <c r="AJ277" s="18">
        <f t="shared" si="48"/>
        <v>0</v>
      </c>
      <c r="AK277" s="18">
        <f t="shared" si="48"/>
        <v>0</v>
      </c>
      <c r="AL277" s="18">
        <f t="shared" si="48"/>
        <v>10858</v>
      </c>
      <c r="AM277" s="18">
        <f t="shared" si="48"/>
        <v>10858</v>
      </c>
      <c r="AN277" s="18">
        <f t="shared" si="48"/>
        <v>547</v>
      </c>
      <c r="AO277" s="18">
        <f t="shared" si="48"/>
        <v>547</v>
      </c>
      <c r="AP277" s="18">
        <f t="shared" si="48"/>
        <v>502281</v>
      </c>
      <c r="AQ277" s="18">
        <f t="shared" si="48"/>
        <v>528565</v>
      </c>
      <c r="AR277" s="150"/>
      <c r="AS277" s="156">
        <f t="shared" si="45"/>
        <v>26284</v>
      </c>
      <c r="AT277" s="156">
        <f t="shared" si="46"/>
        <v>35680</v>
      </c>
      <c r="AU277" s="156">
        <f t="shared" si="47"/>
        <v>-9396</v>
      </c>
    </row>
    <row r="278" spans="1:47" x14ac:dyDescent="0.25">
      <c r="A278" s="4" t="s">
        <v>241</v>
      </c>
      <c r="B278" s="4" t="s">
        <v>56</v>
      </c>
      <c r="C278" s="5" t="s">
        <v>57</v>
      </c>
      <c r="D278" s="151">
        <v>46162</v>
      </c>
      <c r="E278" s="153">
        <v>48586</v>
      </c>
      <c r="F278" s="151">
        <v>2628</v>
      </c>
      <c r="G278" s="153">
        <v>2400</v>
      </c>
      <c r="H278" s="151"/>
      <c r="I278" s="153"/>
      <c r="J278" s="151">
        <v>510</v>
      </c>
      <c r="K278" s="153">
        <v>480</v>
      </c>
      <c r="L278" s="151">
        <v>1681</v>
      </c>
      <c r="M278" s="153">
        <v>1900</v>
      </c>
      <c r="N278" s="151"/>
      <c r="O278" s="153"/>
      <c r="P278" s="151">
        <v>5200</v>
      </c>
      <c r="Q278" s="153">
        <v>5200</v>
      </c>
      <c r="R278" s="151">
        <v>1320</v>
      </c>
      <c r="S278" s="153">
        <v>1254</v>
      </c>
      <c r="T278" s="151"/>
      <c r="U278" s="153"/>
      <c r="V278" s="151"/>
      <c r="W278" s="153"/>
      <c r="X278" s="151"/>
      <c r="Y278" s="153"/>
      <c r="Z278" s="61">
        <f t="shared" ref="Z278:AA299" si="49">D278+F278+H278+J278+L278+P278+R278+T278+V278+X278+N278</f>
        <v>57501</v>
      </c>
      <c r="AA278" s="75">
        <f t="shared" si="49"/>
        <v>59820</v>
      </c>
      <c r="AB278" s="151"/>
      <c r="AC278" s="153"/>
      <c r="AD278" s="151">
        <v>5270</v>
      </c>
      <c r="AE278" s="153">
        <v>5000</v>
      </c>
      <c r="AF278" s="151">
        <v>4970</v>
      </c>
      <c r="AG278" s="153">
        <v>4970</v>
      </c>
      <c r="AH278" s="151">
        <v>76</v>
      </c>
      <c r="AI278" s="153">
        <v>76</v>
      </c>
      <c r="AJ278" s="151"/>
      <c r="AK278" s="153"/>
      <c r="AL278" s="151"/>
      <c r="AM278" s="153"/>
      <c r="AN278" s="151"/>
      <c r="AO278" s="153"/>
      <c r="AP278" s="61">
        <f t="shared" ref="AP278:AQ299" si="50">Z278+AB278+AD278+AF278+AH278+AJ278+AL278+AN278</f>
        <v>67817</v>
      </c>
      <c r="AQ278" s="75">
        <f t="shared" si="50"/>
        <v>69866</v>
      </c>
      <c r="AR278" s="150" t="s">
        <v>58</v>
      </c>
      <c r="AS278" s="21">
        <f t="shared" si="45"/>
        <v>2049</v>
      </c>
      <c r="AT278" s="21">
        <f t="shared" si="46"/>
        <v>2424</v>
      </c>
      <c r="AU278" s="21">
        <f t="shared" si="47"/>
        <v>-375</v>
      </c>
    </row>
    <row r="279" spans="1:47" x14ac:dyDescent="0.25">
      <c r="A279" s="4" t="s">
        <v>241</v>
      </c>
      <c r="B279" s="4" t="s">
        <v>235</v>
      </c>
      <c r="C279" s="5" t="s">
        <v>79</v>
      </c>
      <c r="D279" s="151">
        <v>4244</v>
      </c>
      <c r="E279" s="153">
        <v>4434</v>
      </c>
      <c r="F279" s="151"/>
      <c r="G279" s="153"/>
      <c r="H279" s="151"/>
      <c r="I279" s="153"/>
      <c r="J279" s="151"/>
      <c r="K279" s="153"/>
      <c r="L279" s="151">
        <v>218</v>
      </c>
      <c r="M279" s="153">
        <v>218</v>
      </c>
      <c r="N279" s="151"/>
      <c r="O279" s="153"/>
      <c r="P279" s="151"/>
      <c r="Q279" s="153"/>
      <c r="R279" s="151"/>
      <c r="S279" s="153"/>
      <c r="T279" s="151"/>
      <c r="U279" s="153"/>
      <c r="V279" s="151"/>
      <c r="W279" s="153"/>
      <c r="X279" s="151"/>
      <c r="Y279" s="153"/>
      <c r="Z279" s="61">
        <f t="shared" si="49"/>
        <v>4462</v>
      </c>
      <c r="AA279" s="75">
        <f t="shared" si="49"/>
        <v>4652</v>
      </c>
      <c r="AB279" s="151"/>
      <c r="AC279" s="153"/>
      <c r="AD279" s="151">
        <v>850</v>
      </c>
      <c r="AE279" s="97">
        <v>920</v>
      </c>
      <c r="AF279" s="43">
        <v>670</v>
      </c>
      <c r="AG279" s="97">
        <v>1230</v>
      </c>
      <c r="AH279" s="151"/>
      <c r="AI279" s="153"/>
      <c r="AJ279" s="151"/>
      <c r="AK279" s="153"/>
      <c r="AL279" s="151"/>
      <c r="AM279" s="153"/>
      <c r="AN279" s="151"/>
      <c r="AO279" s="153"/>
      <c r="AP279" s="61">
        <f t="shared" si="50"/>
        <v>5982</v>
      </c>
      <c r="AQ279" s="75">
        <f t="shared" si="50"/>
        <v>6802</v>
      </c>
      <c r="AR279" s="150" t="s">
        <v>128</v>
      </c>
      <c r="AS279" s="21">
        <f t="shared" si="45"/>
        <v>820</v>
      </c>
      <c r="AT279" s="21">
        <f t="shared" si="46"/>
        <v>190</v>
      </c>
      <c r="AU279" s="21">
        <f t="shared" si="47"/>
        <v>630</v>
      </c>
    </row>
    <row r="280" spans="1:47" x14ac:dyDescent="0.25">
      <c r="A280" s="4" t="s">
        <v>241</v>
      </c>
      <c r="B280" s="4" t="s">
        <v>98</v>
      </c>
      <c r="C280" s="5" t="s">
        <v>99</v>
      </c>
      <c r="D280" s="151"/>
      <c r="E280" s="153"/>
      <c r="F280" s="151"/>
      <c r="G280" s="153"/>
      <c r="H280" s="151"/>
      <c r="I280" s="153"/>
      <c r="J280" s="151"/>
      <c r="K280" s="153"/>
      <c r="L280" s="151"/>
      <c r="M280" s="153"/>
      <c r="N280" s="151"/>
      <c r="O280" s="153"/>
      <c r="P280" s="151"/>
      <c r="Q280" s="153"/>
      <c r="R280" s="151">
        <v>320</v>
      </c>
      <c r="S280" s="153">
        <v>300</v>
      </c>
      <c r="T280" s="151"/>
      <c r="U280" s="153"/>
      <c r="V280" s="151"/>
      <c r="W280" s="153"/>
      <c r="X280" s="151"/>
      <c r="Y280" s="153"/>
      <c r="Z280" s="61">
        <f t="shared" si="49"/>
        <v>320</v>
      </c>
      <c r="AA280" s="75">
        <f t="shared" si="49"/>
        <v>300</v>
      </c>
      <c r="AB280" s="151">
        <v>14</v>
      </c>
      <c r="AC280" s="153">
        <v>14</v>
      </c>
      <c r="AD280" s="151">
        <v>100</v>
      </c>
      <c r="AE280" s="97">
        <v>96</v>
      </c>
      <c r="AF280" s="43">
        <v>190</v>
      </c>
      <c r="AG280" s="97">
        <v>180</v>
      </c>
      <c r="AH280" s="151"/>
      <c r="AI280" s="153"/>
      <c r="AJ280" s="151"/>
      <c r="AK280" s="153"/>
      <c r="AL280" s="151"/>
      <c r="AM280" s="153"/>
      <c r="AN280" s="151"/>
      <c r="AO280" s="153"/>
      <c r="AP280" s="61">
        <f t="shared" si="50"/>
        <v>624</v>
      </c>
      <c r="AQ280" s="75">
        <f t="shared" si="50"/>
        <v>590</v>
      </c>
      <c r="AR280" s="150" t="s">
        <v>58</v>
      </c>
      <c r="AS280" s="21">
        <f t="shared" si="45"/>
        <v>-34</v>
      </c>
      <c r="AT280" s="21">
        <f t="shared" si="46"/>
        <v>0</v>
      </c>
      <c r="AU280" s="21">
        <f t="shared" si="47"/>
        <v>-34</v>
      </c>
    </row>
    <row r="281" spans="1:47" ht="26.25" x14ac:dyDescent="0.25">
      <c r="A281" s="4" t="s">
        <v>241</v>
      </c>
      <c r="B281" s="4" t="s">
        <v>65</v>
      </c>
      <c r="C281" s="5" t="s">
        <v>60</v>
      </c>
      <c r="D281" s="151">
        <v>190483</v>
      </c>
      <c r="E281" s="153">
        <v>162575</v>
      </c>
      <c r="F281" s="151">
        <v>30</v>
      </c>
      <c r="G281" s="153">
        <v>20</v>
      </c>
      <c r="H281" s="151"/>
      <c r="I281" s="153"/>
      <c r="J281" s="151">
        <v>102</v>
      </c>
      <c r="K281" s="153">
        <v>80</v>
      </c>
      <c r="L281" s="151">
        <v>1790</v>
      </c>
      <c r="M281" s="153">
        <v>2000</v>
      </c>
      <c r="N281" s="151">
        <v>2820</v>
      </c>
      <c r="O281" s="153">
        <v>2700</v>
      </c>
      <c r="P281" s="151"/>
      <c r="Q281" s="153"/>
      <c r="R281" s="151">
        <v>6810</v>
      </c>
      <c r="S281" s="153">
        <v>6500</v>
      </c>
      <c r="T281" s="151"/>
      <c r="U281" s="153"/>
      <c r="V281" s="151"/>
      <c r="W281" s="153"/>
      <c r="X281" s="151"/>
      <c r="Y281" s="153"/>
      <c r="Z281" s="61">
        <f t="shared" si="49"/>
        <v>202035</v>
      </c>
      <c r="AA281" s="75">
        <f t="shared" si="49"/>
        <v>173875</v>
      </c>
      <c r="AB281" s="151"/>
      <c r="AC281" s="153"/>
      <c r="AD281" s="151">
        <v>4195</v>
      </c>
      <c r="AE281" s="153">
        <v>4195</v>
      </c>
      <c r="AF281" s="43">
        <v>5345</v>
      </c>
      <c r="AG281" s="97">
        <v>5597</v>
      </c>
      <c r="AH281" s="151"/>
      <c r="AI281" s="153"/>
      <c r="AJ281" s="151"/>
      <c r="AK281" s="153"/>
      <c r="AL281" s="151"/>
      <c r="AM281" s="153"/>
      <c r="AN281" s="151"/>
      <c r="AO281" s="153"/>
      <c r="AP281" s="61">
        <f t="shared" si="50"/>
        <v>211575</v>
      </c>
      <c r="AQ281" s="75">
        <f t="shared" si="50"/>
        <v>183667</v>
      </c>
      <c r="AR281" s="150" t="s">
        <v>61</v>
      </c>
      <c r="AS281" s="21">
        <f t="shared" si="45"/>
        <v>-27908</v>
      </c>
      <c r="AT281" s="21">
        <f t="shared" si="46"/>
        <v>-27908</v>
      </c>
      <c r="AU281" s="21">
        <f t="shared" si="47"/>
        <v>0</v>
      </c>
    </row>
    <row r="282" spans="1:47" x14ac:dyDescent="0.25">
      <c r="A282" s="4" t="s">
        <v>241</v>
      </c>
      <c r="B282" s="4" t="s">
        <v>69</v>
      </c>
      <c r="C282" s="5" t="s">
        <v>70</v>
      </c>
      <c r="D282" s="151">
        <v>1698</v>
      </c>
      <c r="E282" s="153">
        <v>1780</v>
      </c>
      <c r="F282" s="151"/>
      <c r="G282" s="153"/>
      <c r="H282" s="151"/>
      <c r="I282" s="153"/>
      <c r="J282" s="151"/>
      <c r="K282" s="153"/>
      <c r="L282" s="151"/>
      <c r="M282" s="153"/>
      <c r="N282" s="151"/>
      <c r="O282" s="153"/>
      <c r="P282" s="151"/>
      <c r="Q282" s="153"/>
      <c r="R282" s="151"/>
      <c r="S282" s="153"/>
      <c r="T282" s="151"/>
      <c r="U282" s="153"/>
      <c r="V282" s="151"/>
      <c r="W282" s="153"/>
      <c r="X282" s="151"/>
      <c r="Y282" s="153"/>
      <c r="Z282" s="61">
        <f t="shared" si="49"/>
        <v>1698</v>
      </c>
      <c r="AA282" s="75">
        <f t="shared" si="49"/>
        <v>1780</v>
      </c>
      <c r="AB282" s="151"/>
      <c r="AC282" s="153"/>
      <c r="AD282" s="151">
        <v>951</v>
      </c>
      <c r="AE282" s="153">
        <v>903</v>
      </c>
      <c r="AF282" s="151">
        <v>600</v>
      </c>
      <c r="AG282" s="153">
        <v>570</v>
      </c>
      <c r="AH282" s="151"/>
      <c r="AI282" s="153"/>
      <c r="AJ282" s="151"/>
      <c r="AK282" s="153"/>
      <c r="AL282" s="151"/>
      <c r="AM282" s="153"/>
      <c r="AN282" s="151"/>
      <c r="AO282" s="153"/>
      <c r="AP282" s="61">
        <f t="shared" si="50"/>
        <v>3249</v>
      </c>
      <c r="AQ282" s="75">
        <f t="shared" si="50"/>
        <v>3253</v>
      </c>
      <c r="AR282" s="150" t="s">
        <v>71</v>
      </c>
      <c r="AS282" s="21">
        <f t="shared" si="45"/>
        <v>4</v>
      </c>
      <c r="AT282" s="21">
        <f t="shared" si="46"/>
        <v>82</v>
      </c>
      <c r="AU282" s="21">
        <f t="shared" si="47"/>
        <v>-78</v>
      </c>
    </row>
    <row r="283" spans="1:47" x14ac:dyDescent="0.25">
      <c r="A283" s="4" t="s">
        <v>241</v>
      </c>
      <c r="B283" s="4" t="s">
        <v>77</v>
      </c>
      <c r="C283" s="5" t="s">
        <v>73</v>
      </c>
      <c r="D283" s="151">
        <v>33802</v>
      </c>
      <c r="E283" s="153">
        <v>33325</v>
      </c>
      <c r="F283" s="151">
        <v>70</v>
      </c>
      <c r="G283" s="153">
        <v>300</v>
      </c>
      <c r="H283" s="151"/>
      <c r="I283" s="153"/>
      <c r="J283" s="151"/>
      <c r="K283" s="153"/>
      <c r="L283" s="151">
        <v>1370</v>
      </c>
      <c r="M283" s="153">
        <v>1300</v>
      </c>
      <c r="N283" s="151">
        <v>100</v>
      </c>
      <c r="O283" s="153">
        <v>130</v>
      </c>
      <c r="P283" s="151">
        <v>5768</v>
      </c>
      <c r="Q283" s="153">
        <v>5768</v>
      </c>
      <c r="R283" s="151">
        <v>2100</v>
      </c>
      <c r="S283" s="153">
        <v>2000</v>
      </c>
      <c r="T283" s="151"/>
      <c r="U283" s="153"/>
      <c r="V283" s="151"/>
      <c r="W283" s="153"/>
      <c r="X283" s="151"/>
      <c r="Y283" s="153"/>
      <c r="Z283" s="61">
        <f t="shared" si="49"/>
        <v>43210</v>
      </c>
      <c r="AA283" s="75">
        <f t="shared" si="49"/>
        <v>42823</v>
      </c>
      <c r="AB283" s="151"/>
      <c r="AC283" s="153"/>
      <c r="AD283" s="151">
        <v>4360</v>
      </c>
      <c r="AE283" s="97">
        <v>4360</v>
      </c>
      <c r="AF283" s="151">
        <v>7660</v>
      </c>
      <c r="AG283" s="153">
        <v>7660</v>
      </c>
      <c r="AH283" s="151"/>
      <c r="AI283" s="153"/>
      <c r="AJ283" s="151"/>
      <c r="AK283" s="153"/>
      <c r="AL283" s="151"/>
      <c r="AM283" s="153"/>
      <c r="AN283" s="151"/>
      <c r="AO283" s="153"/>
      <c r="AP283" s="61">
        <f t="shared" si="50"/>
        <v>55230</v>
      </c>
      <c r="AQ283" s="75">
        <f t="shared" si="50"/>
        <v>54843</v>
      </c>
      <c r="AR283" s="150" t="s">
        <v>74</v>
      </c>
      <c r="AS283" s="21">
        <f t="shared" si="45"/>
        <v>-387</v>
      </c>
      <c r="AT283" s="21">
        <f t="shared" si="46"/>
        <v>-477</v>
      </c>
      <c r="AU283" s="21">
        <f t="shared" si="47"/>
        <v>90</v>
      </c>
    </row>
    <row r="284" spans="1:47" x14ac:dyDescent="0.25">
      <c r="A284" s="4" t="s">
        <v>241</v>
      </c>
      <c r="B284" s="4" t="s">
        <v>242</v>
      </c>
      <c r="C284" s="5" t="s">
        <v>73</v>
      </c>
      <c r="D284" s="151">
        <v>9083</v>
      </c>
      <c r="E284" s="153">
        <v>9685</v>
      </c>
      <c r="F284" s="151">
        <v>50</v>
      </c>
      <c r="G284" s="153">
        <v>50</v>
      </c>
      <c r="H284" s="151"/>
      <c r="I284" s="153"/>
      <c r="J284" s="151">
        <v>40</v>
      </c>
      <c r="K284" s="153">
        <v>40</v>
      </c>
      <c r="L284" s="151">
        <v>218</v>
      </c>
      <c r="M284" s="153">
        <v>218</v>
      </c>
      <c r="N284" s="151"/>
      <c r="O284" s="153"/>
      <c r="P284" s="151"/>
      <c r="Q284" s="153"/>
      <c r="R284" s="151"/>
      <c r="S284" s="153"/>
      <c r="T284" s="151"/>
      <c r="U284" s="153"/>
      <c r="V284" s="151"/>
      <c r="W284" s="153"/>
      <c r="X284" s="151"/>
      <c r="Y284" s="153"/>
      <c r="Z284" s="61">
        <f t="shared" si="49"/>
        <v>9391</v>
      </c>
      <c r="AA284" s="75">
        <f t="shared" si="49"/>
        <v>9993</v>
      </c>
      <c r="AB284" s="151"/>
      <c r="AC284" s="153">
        <v>15</v>
      </c>
      <c r="AD284" s="151">
        <v>240</v>
      </c>
      <c r="AE284" s="153">
        <v>270</v>
      </c>
      <c r="AF284" s="151">
        <v>810</v>
      </c>
      <c r="AG284" s="153">
        <v>727</v>
      </c>
      <c r="AH284" s="151">
        <v>1900</v>
      </c>
      <c r="AI284" s="153">
        <v>1840</v>
      </c>
      <c r="AJ284" s="151"/>
      <c r="AK284" s="153"/>
      <c r="AL284" s="151"/>
      <c r="AM284" s="153"/>
      <c r="AN284" s="151"/>
      <c r="AO284" s="153"/>
      <c r="AP284" s="61">
        <f t="shared" si="50"/>
        <v>12341</v>
      </c>
      <c r="AQ284" s="75">
        <f t="shared" si="50"/>
        <v>12845</v>
      </c>
      <c r="AR284" s="150" t="s">
        <v>74</v>
      </c>
      <c r="AS284" s="21">
        <f t="shared" si="45"/>
        <v>504</v>
      </c>
      <c r="AT284" s="21">
        <f t="shared" si="46"/>
        <v>602</v>
      </c>
      <c r="AU284" s="21">
        <f t="shared" si="47"/>
        <v>-98</v>
      </c>
    </row>
    <row r="285" spans="1:47" x14ac:dyDescent="0.25">
      <c r="A285" s="4" t="s">
        <v>241</v>
      </c>
      <c r="B285" s="4" t="s">
        <v>243</v>
      </c>
      <c r="C285" s="5" t="s">
        <v>73</v>
      </c>
      <c r="D285" s="151">
        <v>7207</v>
      </c>
      <c r="E285" s="153">
        <v>7682</v>
      </c>
      <c r="F285" s="151">
        <v>20</v>
      </c>
      <c r="G285" s="153">
        <v>20</v>
      </c>
      <c r="H285" s="151"/>
      <c r="I285" s="153"/>
      <c r="J285" s="151">
        <v>45</v>
      </c>
      <c r="K285" s="153">
        <v>35</v>
      </c>
      <c r="L285" s="151">
        <v>270</v>
      </c>
      <c r="M285" s="153">
        <v>250</v>
      </c>
      <c r="N285" s="151"/>
      <c r="O285" s="153"/>
      <c r="P285" s="151"/>
      <c r="Q285" s="153"/>
      <c r="R285" s="151"/>
      <c r="S285" s="153"/>
      <c r="T285" s="151"/>
      <c r="U285" s="153"/>
      <c r="V285" s="151"/>
      <c r="W285" s="153"/>
      <c r="X285" s="151"/>
      <c r="Y285" s="153"/>
      <c r="Z285" s="61">
        <f t="shared" si="49"/>
        <v>7542</v>
      </c>
      <c r="AA285" s="75">
        <f t="shared" si="49"/>
        <v>7987</v>
      </c>
      <c r="AB285" s="151"/>
      <c r="AC285" s="153"/>
      <c r="AD285" s="151">
        <v>240</v>
      </c>
      <c r="AE285" s="153">
        <v>200</v>
      </c>
      <c r="AF285" s="151">
        <v>750</v>
      </c>
      <c r="AG285" s="153">
        <v>600</v>
      </c>
      <c r="AH285" s="151">
        <v>1124</v>
      </c>
      <c r="AI285" s="153">
        <v>1079</v>
      </c>
      <c r="AJ285" s="151"/>
      <c r="AK285" s="153"/>
      <c r="AL285" s="151"/>
      <c r="AM285" s="153"/>
      <c r="AN285" s="151"/>
      <c r="AO285" s="153"/>
      <c r="AP285" s="61">
        <f t="shared" si="50"/>
        <v>9656</v>
      </c>
      <c r="AQ285" s="75">
        <f t="shared" si="50"/>
        <v>9866</v>
      </c>
      <c r="AR285" s="150" t="s">
        <v>74</v>
      </c>
      <c r="AS285" s="21">
        <f t="shared" si="45"/>
        <v>210</v>
      </c>
      <c r="AT285" s="21">
        <f t="shared" si="46"/>
        <v>475</v>
      </c>
      <c r="AU285" s="21">
        <f t="shared" si="47"/>
        <v>-265</v>
      </c>
    </row>
    <row r="286" spans="1:47" x14ac:dyDescent="0.25">
      <c r="A286" s="44" t="s">
        <v>241</v>
      </c>
      <c r="B286" s="44" t="s">
        <v>244</v>
      </c>
      <c r="C286" s="46" t="s">
        <v>165</v>
      </c>
      <c r="D286" s="151"/>
      <c r="E286" s="153"/>
      <c r="F286" s="151"/>
      <c r="G286" s="153"/>
      <c r="H286" s="151"/>
      <c r="I286" s="153"/>
      <c r="J286" s="151"/>
      <c r="K286" s="153"/>
      <c r="L286" s="151"/>
      <c r="M286" s="153"/>
      <c r="N286" s="151"/>
      <c r="O286" s="153"/>
      <c r="P286" s="151">
        <v>3500</v>
      </c>
      <c r="Q286" s="153">
        <v>3500</v>
      </c>
      <c r="R286" s="151"/>
      <c r="S286" s="153"/>
      <c r="T286" s="151"/>
      <c r="U286" s="153"/>
      <c r="V286" s="151"/>
      <c r="W286" s="153"/>
      <c r="X286" s="151"/>
      <c r="Y286" s="153"/>
      <c r="Z286" s="61">
        <f t="shared" si="49"/>
        <v>3500</v>
      </c>
      <c r="AA286" s="75">
        <f t="shared" si="49"/>
        <v>3500</v>
      </c>
      <c r="AB286" s="151"/>
      <c r="AC286" s="153"/>
      <c r="AD286" s="151"/>
      <c r="AE286" s="153"/>
      <c r="AF286" s="151"/>
      <c r="AG286" s="153">
        <v>500</v>
      </c>
      <c r="AH286" s="151"/>
      <c r="AI286" s="153"/>
      <c r="AJ286" s="151"/>
      <c r="AK286" s="153"/>
      <c r="AL286" s="151"/>
      <c r="AM286" s="153"/>
      <c r="AN286" s="151"/>
      <c r="AO286" s="153"/>
      <c r="AP286" s="61">
        <f t="shared" si="50"/>
        <v>3500</v>
      </c>
      <c r="AQ286" s="75">
        <f t="shared" si="50"/>
        <v>4000</v>
      </c>
      <c r="AR286" s="150" t="s">
        <v>167</v>
      </c>
      <c r="AS286" s="21">
        <f t="shared" si="45"/>
        <v>500</v>
      </c>
      <c r="AT286" s="21">
        <f t="shared" si="46"/>
        <v>0</v>
      </c>
      <c r="AU286" s="21">
        <f t="shared" si="47"/>
        <v>500</v>
      </c>
    </row>
    <row r="287" spans="1:47" x14ac:dyDescent="0.25">
      <c r="A287" s="4" t="s">
        <v>241</v>
      </c>
      <c r="B287" s="4" t="s">
        <v>245</v>
      </c>
      <c r="C287" s="5" t="s">
        <v>82</v>
      </c>
      <c r="D287" s="151">
        <v>114897</v>
      </c>
      <c r="E287" s="153">
        <v>137467</v>
      </c>
      <c r="F287" s="151">
        <v>317</v>
      </c>
      <c r="G287" s="153">
        <v>300</v>
      </c>
      <c r="H287" s="151"/>
      <c r="I287" s="153"/>
      <c r="J287" s="151">
        <v>2660</v>
      </c>
      <c r="K287" s="153">
        <v>2660</v>
      </c>
      <c r="L287" s="151">
        <v>8900</v>
      </c>
      <c r="M287" s="153">
        <v>8900</v>
      </c>
      <c r="N287" s="151">
        <v>895</v>
      </c>
      <c r="O287" s="153">
        <v>1100</v>
      </c>
      <c r="P287" s="151">
        <v>12900</v>
      </c>
      <c r="Q287" s="153">
        <v>12900</v>
      </c>
      <c r="R287" s="151">
        <v>2160</v>
      </c>
      <c r="S287" s="153">
        <v>1500</v>
      </c>
      <c r="T287" s="151">
        <v>14393</v>
      </c>
      <c r="U287" s="97">
        <v>14827</v>
      </c>
      <c r="V287" s="151">
        <v>7960</v>
      </c>
      <c r="W287" s="153">
        <v>7960</v>
      </c>
      <c r="X287" s="151"/>
      <c r="Y287" s="153"/>
      <c r="Z287" s="61">
        <f t="shared" si="49"/>
        <v>165082</v>
      </c>
      <c r="AA287" s="75">
        <f t="shared" si="49"/>
        <v>187614</v>
      </c>
      <c r="AB287" s="151">
        <v>50</v>
      </c>
      <c r="AC287" s="153">
        <v>50</v>
      </c>
      <c r="AD287" s="151">
        <v>3250</v>
      </c>
      <c r="AE287" s="97">
        <v>3600</v>
      </c>
      <c r="AF287" s="151">
        <v>5880</v>
      </c>
      <c r="AG287" s="153">
        <v>5880</v>
      </c>
      <c r="AH287" s="151">
        <v>100</v>
      </c>
      <c r="AI287" s="153">
        <v>150</v>
      </c>
      <c r="AJ287" s="151"/>
      <c r="AK287" s="153"/>
      <c r="AL287" s="151"/>
      <c r="AM287" s="153"/>
      <c r="AN287" s="151"/>
      <c r="AO287" s="153"/>
      <c r="AP287" s="61">
        <f t="shared" si="50"/>
        <v>174362</v>
      </c>
      <c r="AQ287" s="75">
        <f t="shared" si="50"/>
        <v>197294</v>
      </c>
      <c r="AR287" s="150" t="s">
        <v>128</v>
      </c>
      <c r="AS287" s="21">
        <f t="shared" si="45"/>
        <v>22932</v>
      </c>
      <c r="AT287" s="21">
        <f t="shared" si="46"/>
        <v>22570</v>
      </c>
      <c r="AU287" s="21">
        <f t="shared" si="47"/>
        <v>362</v>
      </c>
    </row>
    <row r="288" spans="1:47" x14ac:dyDescent="0.25">
      <c r="A288" s="4" t="s">
        <v>241</v>
      </c>
      <c r="B288" s="4" t="s">
        <v>90</v>
      </c>
      <c r="C288" s="5" t="s">
        <v>82</v>
      </c>
      <c r="D288" s="151"/>
      <c r="E288" s="153"/>
      <c r="F288" s="151"/>
      <c r="G288" s="153"/>
      <c r="H288" s="151"/>
      <c r="I288" s="153"/>
      <c r="J288" s="151"/>
      <c r="K288" s="153"/>
      <c r="L288" s="151"/>
      <c r="M288" s="153"/>
      <c r="N288" s="151"/>
      <c r="O288" s="153"/>
      <c r="P288" s="151"/>
      <c r="Q288" s="153"/>
      <c r="R288" s="151"/>
      <c r="S288" s="153"/>
      <c r="T288" s="151">
        <v>1113</v>
      </c>
      <c r="U288" s="153">
        <v>1300</v>
      </c>
      <c r="V288" s="151"/>
      <c r="W288" s="153"/>
      <c r="X288" s="151"/>
      <c r="Y288" s="153"/>
      <c r="Z288" s="61">
        <f t="shared" si="49"/>
        <v>1113</v>
      </c>
      <c r="AA288" s="75">
        <f t="shared" si="49"/>
        <v>1300</v>
      </c>
      <c r="AB288" s="151"/>
      <c r="AC288" s="153"/>
      <c r="AD288" s="151"/>
      <c r="AE288" s="153"/>
      <c r="AF288" s="151"/>
      <c r="AG288" s="153"/>
      <c r="AH288" s="151"/>
      <c r="AI288" s="153"/>
      <c r="AJ288" s="151"/>
      <c r="AK288" s="153"/>
      <c r="AL288" s="151"/>
      <c r="AM288" s="153"/>
      <c r="AN288" s="151"/>
      <c r="AO288" s="153"/>
      <c r="AP288" s="61">
        <f t="shared" si="50"/>
        <v>1113</v>
      </c>
      <c r="AQ288" s="75">
        <f t="shared" si="50"/>
        <v>1300</v>
      </c>
      <c r="AR288" s="150" t="s">
        <v>128</v>
      </c>
      <c r="AS288" s="21">
        <f t="shared" si="45"/>
        <v>187</v>
      </c>
      <c r="AT288" s="21">
        <f t="shared" si="46"/>
        <v>0</v>
      </c>
      <c r="AU288" s="21">
        <f t="shared" si="47"/>
        <v>187</v>
      </c>
    </row>
    <row r="289" spans="1:47" ht="26.25" x14ac:dyDescent="0.25">
      <c r="A289" s="4" t="s">
        <v>241</v>
      </c>
      <c r="B289" s="4" t="s">
        <v>83</v>
      </c>
      <c r="C289" s="5" t="s">
        <v>82</v>
      </c>
      <c r="D289" s="151">
        <f>89811+1899</f>
        <v>91710</v>
      </c>
      <c r="E289" s="153">
        <v>89113</v>
      </c>
      <c r="F289" s="151"/>
      <c r="G289" s="153"/>
      <c r="H289" s="151"/>
      <c r="I289" s="153"/>
      <c r="J289" s="151"/>
      <c r="K289" s="153"/>
      <c r="L289" s="151"/>
      <c r="M289" s="153"/>
      <c r="N289" s="151"/>
      <c r="O289" s="153"/>
      <c r="P289" s="151"/>
      <c r="Q289" s="153"/>
      <c r="R289" s="151"/>
      <c r="S289" s="153"/>
      <c r="T289" s="151"/>
      <c r="U289" s="153"/>
      <c r="V289" s="151"/>
      <c r="W289" s="153"/>
      <c r="X289" s="151"/>
      <c r="Y289" s="153"/>
      <c r="Z289" s="61">
        <f t="shared" si="49"/>
        <v>91710</v>
      </c>
      <c r="AA289" s="75">
        <f t="shared" si="49"/>
        <v>89113</v>
      </c>
      <c r="AB289" s="151"/>
      <c r="AC289" s="153"/>
      <c r="AD289" s="151"/>
      <c r="AE289" s="153"/>
      <c r="AF289" s="151"/>
      <c r="AG289" s="153"/>
      <c r="AH289" s="151"/>
      <c r="AI289" s="153"/>
      <c r="AJ289" s="151"/>
      <c r="AK289" s="153"/>
      <c r="AL289" s="151"/>
      <c r="AM289" s="153"/>
      <c r="AN289" s="151"/>
      <c r="AO289" s="153"/>
      <c r="AP289" s="61">
        <f t="shared" si="50"/>
        <v>91710</v>
      </c>
      <c r="AQ289" s="75">
        <f t="shared" si="50"/>
        <v>89113</v>
      </c>
      <c r="AR289" s="150" t="s">
        <v>128</v>
      </c>
      <c r="AS289" s="21">
        <f t="shared" si="45"/>
        <v>-2597</v>
      </c>
      <c r="AT289" s="21">
        <f t="shared" si="46"/>
        <v>-2597</v>
      </c>
      <c r="AU289" s="21">
        <f t="shared" si="47"/>
        <v>0</v>
      </c>
    </row>
    <row r="290" spans="1:47" x14ac:dyDescent="0.25">
      <c r="A290" s="4" t="s">
        <v>241</v>
      </c>
      <c r="B290" s="4" t="s">
        <v>85</v>
      </c>
      <c r="C290" s="5" t="s">
        <v>86</v>
      </c>
      <c r="D290" s="151">
        <v>25225</v>
      </c>
      <c r="E290" s="153">
        <v>27422</v>
      </c>
      <c r="F290" s="151">
        <v>1908</v>
      </c>
      <c r="G290" s="153">
        <v>1810</v>
      </c>
      <c r="H290" s="151"/>
      <c r="I290" s="153"/>
      <c r="J290" s="151">
        <v>1500</v>
      </c>
      <c r="K290" s="153">
        <v>1500</v>
      </c>
      <c r="L290" s="151">
        <v>12120</v>
      </c>
      <c r="M290" s="153">
        <v>11000</v>
      </c>
      <c r="N290" s="151">
        <v>999</v>
      </c>
      <c r="O290" s="153">
        <v>1050</v>
      </c>
      <c r="P290" s="151">
        <v>19360</v>
      </c>
      <c r="Q290" s="153">
        <v>19360</v>
      </c>
      <c r="R290" s="151">
        <v>1400</v>
      </c>
      <c r="S290" s="153">
        <v>1300</v>
      </c>
      <c r="T290" s="151">
        <v>3435</v>
      </c>
      <c r="U290" s="97">
        <v>3067</v>
      </c>
      <c r="V290" s="151">
        <v>7517</v>
      </c>
      <c r="W290" s="153">
        <v>7517</v>
      </c>
      <c r="X290" s="151"/>
      <c r="Y290" s="153"/>
      <c r="Z290" s="61">
        <f t="shared" si="49"/>
        <v>73464</v>
      </c>
      <c r="AA290" s="75">
        <f t="shared" si="49"/>
        <v>74026</v>
      </c>
      <c r="AB290" s="151"/>
      <c r="AC290" s="153"/>
      <c r="AD290" s="151">
        <v>2881</v>
      </c>
      <c r="AE290" s="153">
        <v>2880</v>
      </c>
      <c r="AF290" s="151">
        <v>7500</v>
      </c>
      <c r="AG290" s="153">
        <v>7500</v>
      </c>
      <c r="AH290" s="151"/>
      <c r="AI290" s="153">
        <v>0</v>
      </c>
      <c r="AJ290" s="151"/>
      <c r="AK290" s="153"/>
      <c r="AL290" s="151"/>
      <c r="AM290" s="153"/>
      <c r="AN290" s="151"/>
      <c r="AO290" s="153"/>
      <c r="AP290" s="61">
        <f t="shared" si="50"/>
        <v>83845</v>
      </c>
      <c r="AQ290" s="75">
        <f t="shared" si="50"/>
        <v>84406</v>
      </c>
      <c r="AR290" s="150" t="s">
        <v>128</v>
      </c>
      <c r="AS290" s="21">
        <f t="shared" si="45"/>
        <v>561</v>
      </c>
      <c r="AT290" s="21">
        <f t="shared" si="46"/>
        <v>2197</v>
      </c>
      <c r="AU290" s="21">
        <f t="shared" si="47"/>
        <v>-1636</v>
      </c>
    </row>
    <row r="291" spans="1:47" ht="26.25" x14ac:dyDescent="0.25">
      <c r="A291" s="4" t="s">
        <v>241</v>
      </c>
      <c r="B291" s="4" t="s">
        <v>88</v>
      </c>
      <c r="C291" s="5" t="s">
        <v>86</v>
      </c>
      <c r="D291" s="151"/>
      <c r="E291" s="153"/>
      <c r="F291" s="151"/>
      <c r="G291" s="153"/>
      <c r="H291" s="151"/>
      <c r="I291" s="153"/>
      <c r="J291" s="151"/>
      <c r="K291" s="153"/>
      <c r="L291" s="151"/>
      <c r="M291" s="153"/>
      <c r="N291" s="151"/>
      <c r="O291" s="153"/>
      <c r="P291" s="151"/>
      <c r="Q291" s="153"/>
      <c r="R291" s="151"/>
      <c r="S291" s="153"/>
      <c r="T291" s="151">
        <v>2931</v>
      </c>
      <c r="U291" s="97">
        <v>3067</v>
      </c>
      <c r="V291" s="151"/>
      <c r="W291" s="153"/>
      <c r="X291" s="151"/>
      <c r="Y291" s="153"/>
      <c r="Z291" s="61">
        <f t="shared" si="49"/>
        <v>2931</v>
      </c>
      <c r="AA291" s="75">
        <f t="shared" si="49"/>
        <v>3067</v>
      </c>
      <c r="AB291" s="151"/>
      <c r="AC291" s="153"/>
      <c r="AD291" s="151"/>
      <c r="AE291" s="153"/>
      <c r="AF291" s="151"/>
      <c r="AG291" s="153"/>
      <c r="AH291" s="151"/>
      <c r="AI291" s="153"/>
      <c r="AJ291" s="151"/>
      <c r="AK291" s="153"/>
      <c r="AL291" s="151"/>
      <c r="AM291" s="153"/>
      <c r="AN291" s="151"/>
      <c r="AO291" s="153"/>
      <c r="AP291" s="61">
        <f t="shared" si="50"/>
        <v>2931</v>
      </c>
      <c r="AQ291" s="75">
        <f t="shared" si="50"/>
        <v>3067</v>
      </c>
      <c r="AR291" s="150" t="s">
        <v>128</v>
      </c>
      <c r="AS291" s="21">
        <f t="shared" si="45"/>
        <v>136</v>
      </c>
      <c r="AT291" s="21">
        <f t="shared" si="46"/>
        <v>0</v>
      </c>
      <c r="AU291" s="21">
        <f t="shared" si="47"/>
        <v>136</v>
      </c>
    </row>
    <row r="292" spans="1:47" x14ac:dyDescent="0.25">
      <c r="A292" s="4" t="s">
        <v>241</v>
      </c>
      <c r="B292" s="4" t="s">
        <v>90</v>
      </c>
      <c r="C292" s="5" t="s">
        <v>86</v>
      </c>
      <c r="D292" s="151"/>
      <c r="E292" s="153"/>
      <c r="F292" s="151"/>
      <c r="G292" s="153"/>
      <c r="H292" s="151"/>
      <c r="I292" s="153"/>
      <c r="J292" s="151"/>
      <c r="K292" s="153"/>
      <c r="L292" s="151"/>
      <c r="M292" s="153"/>
      <c r="N292" s="151"/>
      <c r="O292" s="153"/>
      <c r="P292" s="151"/>
      <c r="Q292" s="153"/>
      <c r="R292" s="151"/>
      <c r="S292" s="153"/>
      <c r="T292" s="151">
        <v>1614</v>
      </c>
      <c r="U292" s="97">
        <v>1614</v>
      </c>
      <c r="V292" s="151"/>
      <c r="W292" s="153"/>
      <c r="X292" s="151"/>
      <c r="Y292" s="153"/>
      <c r="Z292" s="61">
        <f t="shared" si="49"/>
        <v>1614</v>
      </c>
      <c r="AA292" s="75">
        <f t="shared" si="49"/>
        <v>1614</v>
      </c>
      <c r="AB292" s="151"/>
      <c r="AC292" s="153"/>
      <c r="AD292" s="151"/>
      <c r="AE292" s="153"/>
      <c r="AF292" s="151"/>
      <c r="AG292" s="153"/>
      <c r="AH292" s="151"/>
      <c r="AI292" s="153"/>
      <c r="AJ292" s="151"/>
      <c r="AK292" s="153"/>
      <c r="AL292" s="151"/>
      <c r="AM292" s="153"/>
      <c r="AN292" s="151"/>
      <c r="AO292" s="153"/>
      <c r="AP292" s="61">
        <f t="shared" si="50"/>
        <v>1614</v>
      </c>
      <c r="AQ292" s="75">
        <f t="shared" si="50"/>
        <v>1614</v>
      </c>
      <c r="AR292" s="150" t="s">
        <v>128</v>
      </c>
      <c r="AS292" s="21">
        <f t="shared" si="45"/>
        <v>0</v>
      </c>
      <c r="AT292" s="21">
        <f t="shared" si="46"/>
        <v>0</v>
      </c>
      <c r="AU292" s="21">
        <f t="shared" si="47"/>
        <v>0</v>
      </c>
    </row>
    <row r="293" spans="1:47" ht="26.25" x14ac:dyDescent="0.25">
      <c r="A293" s="4" t="s">
        <v>241</v>
      </c>
      <c r="B293" s="4" t="s">
        <v>87</v>
      </c>
      <c r="C293" s="5" t="s">
        <v>86</v>
      </c>
      <c r="D293" s="151">
        <v>2690</v>
      </c>
      <c r="E293" s="153">
        <v>8236</v>
      </c>
      <c r="F293" s="151"/>
      <c r="G293" s="153"/>
      <c r="H293" s="151"/>
      <c r="I293" s="153"/>
      <c r="J293" s="151"/>
      <c r="K293" s="153"/>
      <c r="L293" s="151"/>
      <c r="M293" s="153"/>
      <c r="N293" s="151"/>
      <c r="O293" s="153"/>
      <c r="P293" s="151"/>
      <c r="Q293" s="153"/>
      <c r="R293" s="151"/>
      <c r="S293" s="153"/>
      <c r="T293" s="151"/>
      <c r="U293" s="153"/>
      <c r="V293" s="151"/>
      <c r="W293" s="153"/>
      <c r="X293" s="151"/>
      <c r="Y293" s="153"/>
      <c r="Z293" s="61">
        <f t="shared" si="49"/>
        <v>2690</v>
      </c>
      <c r="AA293" s="75">
        <f t="shared" si="49"/>
        <v>8236</v>
      </c>
      <c r="AB293" s="151"/>
      <c r="AC293" s="153"/>
      <c r="AD293" s="151"/>
      <c r="AE293" s="153"/>
      <c r="AF293" s="151"/>
      <c r="AG293" s="153"/>
      <c r="AH293" s="151"/>
      <c r="AI293" s="153"/>
      <c r="AJ293" s="151"/>
      <c r="AK293" s="153"/>
      <c r="AL293" s="151"/>
      <c r="AM293" s="153"/>
      <c r="AN293" s="151"/>
      <c r="AO293" s="153"/>
      <c r="AP293" s="61">
        <f t="shared" si="50"/>
        <v>2690</v>
      </c>
      <c r="AQ293" s="75">
        <f t="shared" si="50"/>
        <v>8236</v>
      </c>
      <c r="AR293" s="150" t="s">
        <v>80</v>
      </c>
      <c r="AS293" s="21">
        <f t="shared" si="45"/>
        <v>5546</v>
      </c>
      <c r="AT293" s="21">
        <f t="shared" si="46"/>
        <v>5546</v>
      </c>
      <c r="AU293" s="21">
        <f t="shared" si="47"/>
        <v>0</v>
      </c>
    </row>
    <row r="294" spans="1:47" x14ac:dyDescent="0.25">
      <c r="A294" s="4" t="s">
        <v>241</v>
      </c>
      <c r="B294" s="4" t="s">
        <v>97</v>
      </c>
      <c r="C294" s="5" t="s">
        <v>96</v>
      </c>
      <c r="D294" s="151"/>
      <c r="E294" s="153"/>
      <c r="F294" s="151"/>
      <c r="G294" s="153"/>
      <c r="H294" s="151"/>
      <c r="I294" s="153"/>
      <c r="J294" s="151"/>
      <c r="K294" s="153"/>
      <c r="L294" s="151"/>
      <c r="M294" s="153"/>
      <c r="N294" s="151"/>
      <c r="O294" s="153"/>
      <c r="P294" s="151"/>
      <c r="Q294" s="153"/>
      <c r="R294" s="151">
        <v>14620</v>
      </c>
      <c r="S294" s="153">
        <v>14620</v>
      </c>
      <c r="T294" s="151"/>
      <c r="U294" s="153"/>
      <c r="V294" s="151">
        <v>2240</v>
      </c>
      <c r="W294" s="153">
        <v>2240</v>
      </c>
      <c r="X294" s="151"/>
      <c r="Y294" s="153"/>
      <c r="Z294" s="61">
        <f t="shared" si="49"/>
        <v>16860</v>
      </c>
      <c r="AA294" s="75">
        <f t="shared" si="49"/>
        <v>16860</v>
      </c>
      <c r="AB294" s="151"/>
      <c r="AC294" s="153"/>
      <c r="AD294" s="151"/>
      <c r="AE294" s="153"/>
      <c r="AF294" s="151"/>
      <c r="AG294" s="153"/>
      <c r="AH294" s="151"/>
      <c r="AI294" s="153"/>
      <c r="AJ294" s="151"/>
      <c r="AK294" s="153"/>
      <c r="AL294" s="151"/>
      <c r="AM294" s="153"/>
      <c r="AN294" s="151"/>
      <c r="AO294" s="153"/>
      <c r="AP294" s="61">
        <f t="shared" si="50"/>
        <v>16860</v>
      </c>
      <c r="AQ294" s="75">
        <f t="shared" si="50"/>
        <v>16860</v>
      </c>
      <c r="AR294" s="150" t="s">
        <v>80</v>
      </c>
      <c r="AS294" s="21">
        <f t="shared" si="45"/>
        <v>0</v>
      </c>
      <c r="AT294" s="21">
        <f t="shared" si="46"/>
        <v>0</v>
      </c>
      <c r="AU294" s="21">
        <f t="shared" si="47"/>
        <v>0</v>
      </c>
    </row>
    <row r="295" spans="1:47" ht="30" x14ac:dyDescent="0.25">
      <c r="A295" s="4" t="s">
        <v>241</v>
      </c>
      <c r="B295" s="4" t="s">
        <v>246</v>
      </c>
      <c r="C295" s="5" t="s">
        <v>104</v>
      </c>
      <c r="D295" s="151"/>
      <c r="E295" s="153"/>
      <c r="F295" s="151"/>
      <c r="G295" s="153"/>
      <c r="H295" s="151"/>
      <c r="I295" s="153"/>
      <c r="J295" s="151">
        <v>86</v>
      </c>
      <c r="K295" s="153">
        <v>200</v>
      </c>
      <c r="L295" s="151">
        <v>1040</v>
      </c>
      <c r="M295" s="153">
        <v>990</v>
      </c>
      <c r="N295" s="151"/>
      <c r="O295" s="153"/>
      <c r="P295" s="151"/>
      <c r="Q295" s="153"/>
      <c r="R295" s="151"/>
      <c r="S295" s="153"/>
      <c r="T295" s="151"/>
      <c r="U295" s="153"/>
      <c r="V295" s="151"/>
      <c r="W295" s="153"/>
      <c r="X295" s="151"/>
      <c r="Y295" s="153"/>
      <c r="Z295" s="61">
        <f t="shared" si="49"/>
        <v>1126</v>
      </c>
      <c r="AA295" s="75">
        <f t="shared" si="49"/>
        <v>1190</v>
      </c>
      <c r="AB295" s="151"/>
      <c r="AC295" s="153"/>
      <c r="AD295" s="151"/>
      <c r="AE295" s="153"/>
      <c r="AF295" s="151">
        <v>80</v>
      </c>
      <c r="AG295" s="153">
        <v>80</v>
      </c>
      <c r="AH295" s="151"/>
      <c r="AI295" s="153"/>
      <c r="AJ295" s="151"/>
      <c r="AK295" s="153"/>
      <c r="AL295" s="151"/>
      <c r="AM295" s="153"/>
      <c r="AN295" s="151"/>
      <c r="AO295" s="153"/>
      <c r="AP295" s="61">
        <f t="shared" si="50"/>
        <v>1206</v>
      </c>
      <c r="AQ295" s="75">
        <f t="shared" si="50"/>
        <v>1270</v>
      </c>
      <c r="AR295" s="150" t="s">
        <v>102</v>
      </c>
      <c r="AS295" s="21">
        <f t="shared" si="45"/>
        <v>64</v>
      </c>
      <c r="AT295" s="21">
        <f t="shared" si="46"/>
        <v>0</v>
      </c>
      <c r="AU295" s="21">
        <f t="shared" si="47"/>
        <v>64</v>
      </c>
    </row>
    <row r="296" spans="1:47" ht="30" x14ac:dyDescent="0.25">
      <c r="A296" s="4" t="s">
        <v>241</v>
      </c>
      <c r="B296" s="4" t="s">
        <v>103</v>
      </c>
      <c r="C296" s="5" t="s">
        <v>104</v>
      </c>
      <c r="D296" s="151"/>
      <c r="E296" s="153"/>
      <c r="F296" s="151"/>
      <c r="G296" s="153"/>
      <c r="H296" s="151"/>
      <c r="I296" s="153"/>
      <c r="J296" s="151"/>
      <c r="K296" s="153"/>
      <c r="L296" s="151"/>
      <c r="M296" s="153"/>
      <c r="N296" s="151"/>
      <c r="O296" s="153"/>
      <c r="P296" s="151"/>
      <c r="Q296" s="153"/>
      <c r="R296" s="151">
        <v>1050</v>
      </c>
      <c r="S296" s="153">
        <v>1000</v>
      </c>
      <c r="T296" s="151"/>
      <c r="U296" s="153"/>
      <c r="V296" s="151"/>
      <c r="W296" s="153"/>
      <c r="X296" s="151"/>
      <c r="Y296" s="153"/>
      <c r="Z296" s="61">
        <f t="shared" si="49"/>
        <v>1050</v>
      </c>
      <c r="AA296" s="75">
        <f t="shared" si="49"/>
        <v>1000</v>
      </c>
      <c r="AB296" s="151"/>
      <c r="AC296" s="153"/>
      <c r="AD296" s="151"/>
      <c r="AE296" s="153"/>
      <c r="AF296" s="151">
        <v>300</v>
      </c>
      <c r="AG296" s="153">
        <v>300</v>
      </c>
      <c r="AH296" s="151"/>
      <c r="AI296" s="153"/>
      <c r="AJ296" s="151"/>
      <c r="AK296" s="153"/>
      <c r="AL296" s="151"/>
      <c r="AM296" s="153"/>
      <c r="AN296" s="151"/>
      <c r="AO296" s="153"/>
      <c r="AP296" s="61">
        <f t="shared" si="50"/>
        <v>1350</v>
      </c>
      <c r="AQ296" s="75">
        <f t="shared" si="50"/>
        <v>1300</v>
      </c>
      <c r="AR296" s="150" t="s">
        <v>102</v>
      </c>
      <c r="AS296" s="21">
        <f t="shared" si="45"/>
        <v>-50</v>
      </c>
      <c r="AT296" s="21">
        <f t="shared" si="46"/>
        <v>0</v>
      </c>
      <c r="AU296" s="21">
        <f t="shared" si="47"/>
        <v>-50</v>
      </c>
    </row>
    <row r="297" spans="1:47" ht="30" x14ac:dyDescent="0.25">
      <c r="A297" s="4" t="s">
        <v>241</v>
      </c>
      <c r="B297" s="4" t="s">
        <v>100</v>
      </c>
      <c r="C297" s="5" t="s">
        <v>101</v>
      </c>
      <c r="D297" s="151"/>
      <c r="E297" s="153"/>
      <c r="F297" s="151"/>
      <c r="G297" s="153"/>
      <c r="H297" s="151"/>
      <c r="I297" s="153"/>
      <c r="J297" s="151"/>
      <c r="K297" s="153"/>
      <c r="L297" s="151"/>
      <c r="M297" s="153"/>
      <c r="N297" s="151"/>
      <c r="O297" s="153"/>
      <c r="P297" s="151"/>
      <c r="Q297" s="153"/>
      <c r="R297" s="151"/>
      <c r="S297" s="153"/>
      <c r="T297" s="151"/>
      <c r="U297" s="153"/>
      <c r="V297" s="151"/>
      <c r="W297" s="153"/>
      <c r="X297" s="151"/>
      <c r="Y297" s="153"/>
      <c r="Z297" s="61">
        <f t="shared" si="49"/>
        <v>0</v>
      </c>
      <c r="AA297" s="75">
        <f t="shared" si="49"/>
        <v>0</v>
      </c>
      <c r="AB297" s="151"/>
      <c r="AC297" s="153"/>
      <c r="AD297" s="151"/>
      <c r="AE297" s="153"/>
      <c r="AF297" s="151"/>
      <c r="AG297" s="153"/>
      <c r="AH297" s="151"/>
      <c r="AI297" s="153"/>
      <c r="AJ297" s="151"/>
      <c r="AK297" s="153"/>
      <c r="AL297" s="151">
        <v>18103</v>
      </c>
      <c r="AM297" s="153">
        <v>18103</v>
      </c>
      <c r="AN297" s="151"/>
      <c r="AO297" s="153"/>
      <c r="AP297" s="61">
        <f t="shared" si="50"/>
        <v>18103</v>
      </c>
      <c r="AQ297" s="75">
        <f t="shared" si="50"/>
        <v>18103</v>
      </c>
      <c r="AR297" s="150" t="s">
        <v>102</v>
      </c>
      <c r="AS297" s="21">
        <f t="shared" si="45"/>
        <v>0</v>
      </c>
      <c r="AT297" s="21">
        <f t="shared" si="46"/>
        <v>0</v>
      </c>
      <c r="AU297" s="21">
        <f t="shared" si="47"/>
        <v>0</v>
      </c>
    </row>
    <row r="298" spans="1:47" x14ac:dyDescent="0.25">
      <c r="A298" s="4" t="s">
        <v>241</v>
      </c>
      <c r="B298" s="4" t="s">
        <v>105</v>
      </c>
      <c r="C298" s="5"/>
      <c r="D298" s="151">
        <v>11343</v>
      </c>
      <c r="E298" s="153">
        <v>11491</v>
      </c>
      <c r="F298" s="151"/>
      <c r="G298" s="153"/>
      <c r="H298" s="151"/>
      <c r="I298" s="153"/>
      <c r="J298" s="151"/>
      <c r="K298" s="153"/>
      <c r="L298" s="151"/>
      <c r="M298" s="153"/>
      <c r="N298" s="151"/>
      <c r="O298" s="153"/>
      <c r="P298" s="151"/>
      <c r="Q298" s="153"/>
      <c r="R298" s="151"/>
      <c r="S298" s="153"/>
      <c r="T298" s="151"/>
      <c r="U298" s="153"/>
      <c r="V298" s="151"/>
      <c r="W298" s="153"/>
      <c r="X298" s="151"/>
      <c r="Y298" s="153"/>
      <c r="Z298" s="61">
        <f t="shared" si="49"/>
        <v>11343</v>
      </c>
      <c r="AA298" s="75">
        <f t="shared" si="49"/>
        <v>11491</v>
      </c>
      <c r="AB298" s="151"/>
      <c r="AC298" s="153"/>
      <c r="AD298" s="151"/>
      <c r="AE298" s="153"/>
      <c r="AF298" s="151"/>
      <c r="AG298" s="153"/>
      <c r="AH298" s="151"/>
      <c r="AI298" s="153"/>
      <c r="AJ298" s="151"/>
      <c r="AK298" s="153"/>
      <c r="AL298" s="151"/>
      <c r="AM298" s="153"/>
      <c r="AN298" s="151"/>
      <c r="AO298" s="153"/>
      <c r="AP298" s="61">
        <f t="shared" si="50"/>
        <v>11343</v>
      </c>
      <c r="AQ298" s="75">
        <f t="shared" si="50"/>
        <v>11491</v>
      </c>
      <c r="AR298" s="150" t="s">
        <v>58</v>
      </c>
      <c r="AS298" s="21">
        <f t="shared" si="45"/>
        <v>148</v>
      </c>
      <c r="AT298" s="21">
        <f t="shared" si="46"/>
        <v>148</v>
      </c>
      <c r="AU298" s="21">
        <f t="shared" si="47"/>
        <v>0</v>
      </c>
    </row>
    <row r="299" spans="1:47" x14ac:dyDescent="0.25">
      <c r="A299" s="4" t="s">
        <v>241</v>
      </c>
      <c r="B299" s="4" t="s">
        <v>106</v>
      </c>
      <c r="C299" s="5"/>
      <c r="D299" s="151">
        <v>9104</v>
      </c>
      <c r="E299" s="153">
        <v>9019</v>
      </c>
      <c r="F299" s="151"/>
      <c r="G299" s="153"/>
      <c r="H299" s="151"/>
      <c r="I299" s="153"/>
      <c r="J299" s="151"/>
      <c r="K299" s="153"/>
      <c r="L299" s="151"/>
      <c r="M299" s="153"/>
      <c r="N299" s="151"/>
      <c r="O299" s="153"/>
      <c r="P299" s="151"/>
      <c r="Q299" s="153"/>
      <c r="R299" s="151"/>
      <c r="S299" s="153"/>
      <c r="T299" s="151"/>
      <c r="U299" s="153"/>
      <c r="V299" s="151"/>
      <c r="W299" s="153"/>
      <c r="X299" s="151"/>
      <c r="Y299" s="153"/>
      <c r="Z299" s="61">
        <f t="shared" si="49"/>
        <v>9104</v>
      </c>
      <c r="AA299" s="75">
        <f t="shared" si="49"/>
        <v>9019</v>
      </c>
      <c r="AB299" s="151"/>
      <c r="AC299" s="153"/>
      <c r="AD299" s="151"/>
      <c r="AE299" s="153"/>
      <c r="AF299" s="151"/>
      <c r="AG299" s="153"/>
      <c r="AH299" s="151"/>
      <c r="AI299" s="153"/>
      <c r="AJ299" s="151"/>
      <c r="AK299" s="153"/>
      <c r="AL299" s="151"/>
      <c r="AM299" s="153"/>
      <c r="AN299" s="151"/>
      <c r="AO299" s="153"/>
      <c r="AP299" s="61">
        <f t="shared" si="50"/>
        <v>9104</v>
      </c>
      <c r="AQ299" s="75">
        <f t="shared" si="50"/>
        <v>9019</v>
      </c>
      <c r="AR299" s="150" t="s">
        <v>58</v>
      </c>
      <c r="AS299" s="21">
        <f t="shared" si="45"/>
        <v>-85</v>
      </c>
      <c r="AT299" s="21">
        <f t="shared" si="46"/>
        <v>-85</v>
      </c>
      <c r="AU299" s="21">
        <f t="shared" si="47"/>
        <v>0</v>
      </c>
    </row>
    <row r="300" spans="1:47" x14ac:dyDescent="0.25">
      <c r="A300" s="16" t="s">
        <v>248</v>
      </c>
      <c r="B300" s="16" t="s">
        <v>108</v>
      </c>
      <c r="C300" s="17"/>
      <c r="D300" s="18">
        <f t="shared" ref="D300:AQ300" si="51">SUM(D278:D299)</f>
        <v>547648</v>
      </c>
      <c r="E300" s="105">
        <f t="shared" si="51"/>
        <v>550815</v>
      </c>
      <c r="F300" s="18">
        <f t="shared" si="51"/>
        <v>5023</v>
      </c>
      <c r="G300" s="18">
        <f t="shared" si="51"/>
        <v>4900</v>
      </c>
      <c r="H300" s="18">
        <f t="shared" si="51"/>
        <v>0</v>
      </c>
      <c r="I300" s="18">
        <f t="shared" si="51"/>
        <v>0</v>
      </c>
      <c r="J300" s="18">
        <f t="shared" si="51"/>
        <v>4943</v>
      </c>
      <c r="K300" s="18">
        <f t="shared" si="51"/>
        <v>4995</v>
      </c>
      <c r="L300" s="18">
        <f t="shared" si="51"/>
        <v>27607</v>
      </c>
      <c r="M300" s="18">
        <f t="shared" si="51"/>
        <v>26776</v>
      </c>
      <c r="N300" s="18">
        <f t="shared" si="51"/>
        <v>4814</v>
      </c>
      <c r="O300" s="18">
        <f t="shared" si="51"/>
        <v>4980</v>
      </c>
      <c r="P300" s="18">
        <f t="shared" si="51"/>
        <v>46728</v>
      </c>
      <c r="Q300" s="18">
        <f t="shared" si="51"/>
        <v>46728</v>
      </c>
      <c r="R300" s="18">
        <f t="shared" si="51"/>
        <v>29780</v>
      </c>
      <c r="S300" s="18">
        <f t="shared" si="51"/>
        <v>28474</v>
      </c>
      <c r="T300" s="18">
        <f t="shared" si="51"/>
        <v>23486</v>
      </c>
      <c r="U300" s="18">
        <f t="shared" si="51"/>
        <v>23875</v>
      </c>
      <c r="V300" s="18">
        <f t="shared" si="51"/>
        <v>17717</v>
      </c>
      <c r="W300" s="18">
        <f t="shared" si="51"/>
        <v>17717</v>
      </c>
      <c r="X300" s="18">
        <f t="shared" si="51"/>
        <v>0</v>
      </c>
      <c r="Y300" s="18">
        <f t="shared" si="51"/>
        <v>0</v>
      </c>
      <c r="Z300" s="18">
        <f t="shared" si="51"/>
        <v>707746</v>
      </c>
      <c r="AA300" s="18">
        <f t="shared" si="51"/>
        <v>709260</v>
      </c>
      <c r="AB300" s="18">
        <f t="shared" si="51"/>
        <v>64</v>
      </c>
      <c r="AC300" s="18">
        <f t="shared" si="51"/>
        <v>79</v>
      </c>
      <c r="AD300" s="18">
        <f t="shared" si="51"/>
        <v>22337</v>
      </c>
      <c r="AE300" s="18">
        <f t="shared" si="51"/>
        <v>22424</v>
      </c>
      <c r="AF300" s="18">
        <f t="shared" si="51"/>
        <v>34755</v>
      </c>
      <c r="AG300" s="18">
        <f t="shared" si="51"/>
        <v>35794</v>
      </c>
      <c r="AH300" s="18">
        <f t="shared" si="51"/>
        <v>3200</v>
      </c>
      <c r="AI300" s="18">
        <f t="shared" si="51"/>
        <v>3145</v>
      </c>
      <c r="AJ300" s="18">
        <f t="shared" si="51"/>
        <v>0</v>
      </c>
      <c r="AK300" s="18">
        <f t="shared" si="51"/>
        <v>0</v>
      </c>
      <c r="AL300" s="18">
        <f t="shared" si="51"/>
        <v>18103</v>
      </c>
      <c r="AM300" s="18">
        <f t="shared" si="51"/>
        <v>18103</v>
      </c>
      <c r="AN300" s="18">
        <f t="shared" si="51"/>
        <v>0</v>
      </c>
      <c r="AO300" s="18">
        <f t="shared" si="51"/>
        <v>0</v>
      </c>
      <c r="AP300" s="18">
        <f t="shared" si="51"/>
        <v>786205</v>
      </c>
      <c r="AQ300" s="18">
        <f t="shared" si="51"/>
        <v>788805</v>
      </c>
      <c r="AR300" s="150"/>
      <c r="AS300" s="156">
        <f t="shared" si="45"/>
        <v>2600</v>
      </c>
      <c r="AT300" s="156">
        <f t="shared" si="46"/>
        <v>3167</v>
      </c>
      <c r="AU300" s="156">
        <f t="shared" si="47"/>
        <v>-567</v>
      </c>
    </row>
    <row r="301" spans="1:47" x14ac:dyDescent="0.25">
      <c r="A301" s="4" t="s">
        <v>249</v>
      </c>
      <c r="B301" s="4" t="s">
        <v>56</v>
      </c>
      <c r="C301" s="5" t="s">
        <v>57</v>
      </c>
      <c r="D301" s="151">
        <v>17005</v>
      </c>
      <c r="E301" s="153">
        <v>12740</v>
      </c>
      <c r="F301" s="151">
        <v>4440</v>
      </c>
      <c r="G301" s="153">
        <v>1000</v>
      </c>
      <c r="H301" s="151"/>
      <c r="I301" s="153"/>
      <c r="J301" s="151">
        <v>400</v>
      </c>
      <c r="K301" s="153">
        <v>400</v>
      </c>
      <c r="L301" s="151">
        <v>2450</v>
      </c>
      <c r="M301" s="153">
        <v>2000</v>
      </c>
      <c r="N301" s="151">
        <v>332</v>
      </c>
      <c r="O301" s="153">
        <v>150</v>
      </c>
      <c r="P301" s="151">
        <v>2300</v>
      </c>
      <c r="Q301" s="153">
        <v>2000</v>
      </c>
      <c r="R301" s="151">
        <v>6200</v>
      </c>
      <c r="S301" s="153">
        <v>5200</v>
      </c>
      <c r="T301" s="151"/>
      <c r="U301" s="153"/>
      <c r="V301" s="151"/>
      <c r="W301" s="153"/>
      <c r="X301" s="151"/>
      <c r="Y301" s="153"/>
      <c r="Z301" s="61">
        <f t="shared" ref="Z301:AA320" si="52">D301+F301+H301+J301+L301+P301+R301+T301+V301+X301+N301</f>
        <v>33127</v>
      </c>
      <c r="AA301" s="75">
        <f t="shared" si="52"/>
        <v>23490</v>
      </c>
      <c r="AB301" s="151">
        <v>60</v>
      </c>
      <c r="AC301" s="153">
        <v>60</v>
      </c>
      <c r="AD301" s="151">
        <v>11300</v>
      </c>
      <c r="AE301" s="153">
        <v>9300</v>
      </c>
      <c r="AF301" s="151">
        <v>14050</v>
      </c>
      <c r="AG301" s="153">
        <v>11000</v>
      </c>
      <c r="AH301" s="151"/>
      <c r="AI301" s="153"/>
      <c r="AJ301" s="151"/>
      <c r="AK301" s="153"/>
      <c r="AL301" s="151"/>
      <c r="AM301" s="153"/>
      <c r="AN301" s="151"/>
      <c r="AO301" s="153"/>
      <c r="AP301" s="61">
        <f t="shared" ref="AP301:AQ320" si="53">Z301+AB301+AD301+AF301+AH301+AJ301+AL301+AN301</f>
        <v>58537</v>
      </c>
      <c r="AQ301" s="75">
        <f t="shared" si="53"/>
        <v>43850</v>
      </c>
      <c r="AR301" s="150" t="s">
        <v>58</v>
      </c>
      <c r="AS301" s="21">
        <f t="shared" si="45"/>
        <v>-14687</v>
      </c>
      <c r="AT301" s="21">
        <f t="shared" si="46"/>
        <v>-4265</v>
      </c>
      <c r="AU301" s="21">
        <f t="shared" si="47"/>
        <v>-10422</v>
      </c>
    </row>
    <row r="302" spans="1:47" x14ac:dyDescent="0.25">
      <c r="A302" s="4" t="s">
        <v>249</v>
      </c>
      <c r="B302" s="4" t="s">
        <v>98</v>
      </c>
      <c r="C302" s="5" t="s">
        <v>99</v>
      </c>
      <c r="D302" s="151"/>
      <c r="E302" s="153"/>
      <c r="F302" s="151"/>
      <c r="G302" s="153"/>
      <c r="H302" s="151"/>
      <c r="I302" s="153"/>
      <c r="J302" s="151"/>
      <c r="K302" s="153"/>
      <c r="L302" s="151"/>
      <c r="M302" s="153"/>
      <c r="N302" s="151"/>
      <c r="O302" s="153"/>
      <c r="P302" s="151"/>
      <c r="Q302" s="153"/>
      <c r="R302" s="151">
        <v>240</v>
      </c>
      <c r="S302" s="153">
        <v>240</v>
      </c>
      <c r="T302" s="151"/>
      <c r="U302" s="153"/>
      <c r="V302" s="151"/>
      <c r="W302" s="153"/>
      <c r="X302" s="151"/>
      <c r="Y302" s="153"/>
      <c r="Z302" s="61">
        <f t="shared" si="52"/>
        <v>240</v>
      </c>
      <c r="AA302" s="75">
        <f t="shared" si="52"/>
        <v>240</v>
      </c>
      <c r="AB302" s="151"/>
      <c r="AC302" s="153"/>
      <c r="AD302" s="151">
        <v>50</v>
      </c>
      <c r="AE302" s="153">
        <v>50</v>
      </c>
      <c r="AF302" s="151">
        <v>100</v>
      </c>
      <c r="AG302" s="153">
        <v>100</v>
      </c>
      <c r="AH302" s="151"/>
      <c r="AI302" s="153"/>
      <c r="AJ302" s="151"/>
      <c r="AK302" s="153"/>
      <c r="AL302" s="151"/>
      <c r="AM302" s="153"/>
      <c r="AN302" s="151"/>
      <c r="AO302" s="153"/>
      <c r="AP302" s="61">
        <f t="shared" si="53"/>
        <v>390</v>
      </c>
      <c r="AQ302" s="75">
        <f t="shared" si="53"/>
        <v>390</v>
      </c>
      <c r="AR302" s="150" t="s">
        <v>58</v>
      </c>
      <c r="AS302" s="21">
        <f t="shared" si="45"/>
        <v>0</v>
      </c>
      <c r="AT302" s="21">
        <f t="shared" si="46"/>
        <v>0</v>
      </c>
      <c r="AU302" s="21">
        <f t="shared" si="47"/>
        <v>0</v>
      </c>
    </row>
    <row r="303" spans="1:47" ht="26.25" x14ac:dyDescent="0.25">
      <c r="A303" s="4" t="s">
        <v>249</v>
      </c>
      <c r="B303" s="4" t="s">
        <v>250</v>
      </c>
      <c r="C303" s="5" t="s">
        <v>60</v>
      </c>
      <c r="D303" s="151">
        <v>98443</v>
      </c>
      <c r="E303" s="153">
        <v>112432</v>
      </c>
      <c r="F303" s="151">
        <v>110</v>
      </c>
      <c r="G303" s="153">
        <v>400</v>
      </c>
      <c r="H303" s="151"/>
      <c r="I303" s="153"/>
      <c r="J303" s="151">
        <v>500</v>
      </c>
      <c r="K303" s="153">
        <v>500</v>
      </c>
      <c r="L303" s="151">
        <v>2600</v>
      </c>
      <c r="M303" s="153">
        <v>3000</v>
      </c>
      <c r="N303" s="151">
        <v>928</v>
      </c>
      <c r="O303" s="153">
        <v>1100</v>
      </c>
      <c r="P303" s="151"/>
      <c r="Q303" s="153"/>
      <c r="R303" s="151">
        <v>3900</v>
      </c>
      <c r="S303" s="153">
        <v>6300</v>
      </c>
      <c r="T303" s="151"/>
      <c r="U303" s="153"/>
      <c r="V303" s="151"/>
      <c r="W303" s="153"/>
      <c r="X303" s="151"/>
      <c r="Y303" s="153"/>
      <c r="Z303" s="61">
        <f t="shared" si="52"/>
        <v>106481</v>
      </c>
      <c r="AA303" s="75">
        <f t="shared" si="52"/>
        <v>123732</v>
      </c>
      <c r="AB303" s="151"/>
      <c r="AC303" s="153"/>
      <c r="AD303" s="151">
        <v>13500</v>
      </c>
      <c r="AE303" s="153">
        <v>10500</v>
      </c>
      <c r="AF303" s="151">
        <v>14000</v>
      </c>
      <c r="AG303" s="153">
        <v>11000</v>
      </c>
      <c r="AH303" s="151"/>
      <c r="AI303" s="153"/>
      <c r="AJ303" s="151"/>
      <c r="AK303" s="153"/>
      <c r="AL303" s="151"/>
      <c r="AM303" s="153"/>
      <c r="AN303" s="151"/>
      <c r="AO303" s="153"/>
      <c r="AP303" s="61">
        <f t="shared" si="53"/>
        <v>133981</v>
      </c>
      <c r="AQ303" s="75">
        <f t="shared" si="53"/>
        <v>145232</v>
      </c>
      <c r="AR303" s="150" t="s">
        <v>61</v>
      </c>
      <c r="AS303" s="21">
        <f t="shared" si="45"/>
        <v>11251</v>
      </c>
      <c r="AT303" s="21">
        <f t="shared" si="46"/>
        <v>13989</v>
      </c>
      <c r="AU303" s="21">
        <f t="shared" si="47"/>
        <v>-2738</v>
      </c>
    </row>
    <row r="304" spans="1:47" x14ac:dyDescent="0.25">
      <c r="A304" s="4" t="s">
        <v>249</v>
      </c>
      <c r="B304" s="4" t="s">
        <v>251</v>
      </c>
      <c r="C304" s="5" t="s">
        <v>60</v>
      </c>
      <c r="D304" s="151"/>
      <c r="E304" s="153"/>
      <c r="F304" s="151"/>
      <c r="G304" s="153"/>
      <c r="H304" s="151"/>
      <c r="I304" s="153"/>
      <c r="J304" s="151">
        <v>110</v>
      </c>
      <c r="K304" s="153">
        <v>100</v>
      </c>
      <c r="L304" s="151">
        <v>1700</v>
      </c>
      <c r="M304" s="153">
        <v>1700</v>
      </c>
      <c r="N304" s="151">
        <v>31</v>
      </c>
      <c r="O304" s="153">
        <v>30</v>
      </c>
      <c r="P304" s="151">
        <v>2100</v>
      </c>
      <c r="Q304" s="153">
        <v>1900</v>
      </c>
      <c r="R304" s="151"/>
      <c r="S304" s="153"/>
      <c r="T304" s="151"/>
      <c r="U304" s="153"/>
      <c r="V304" s="151"/>
      <c r="W304" s="153"/>
      <c r="X304" s="151"/>
      <c r="Y304" s="153"/>
      <c r="Z304" s="61">
        <f t="shared" si="52"/>
        <v>3941</v>
      </c>
      <c r="AA304" s="75">
        <f t="shared" si="52"/>
        <v>3730</v>
      </c>
      <c r="AB304" s="151">
        <v>15</v>
      </c>
      <c r="AC304" s="153">
        <v>15</v>
      </c>
      <c r="AD304" s="151">
        <v>550</v>
      </c>
      <c r="AE304" s="153">
        <v>500</v>
      </c>
      <c r="AF304" s="151">
        <v>200</v>
      </c>
      <c r="AG304" s="153">
        <v>200</v>
      </c>
      <c r="AH304" s="151"/>
      <c r="AI304" s="153"/>
      <c r="AJ304" s="151"/>
      <c r="AK304" s="153"/>
      <c r="AL304" s="151"/>
      <c r="AM304" s="153"/>
      <c r="AN304" s="151"/>
      <c r="AO304" s="153"/>
      <c r="AP304" s="61">
        <f t="shared" si="53"/>
        <v>4706</v>
      </c>
      <c r="AQ304" s="75">
        <f t="shared" si="53"/>
        <v>4445</v>
      </c>
      <c r="AR304" s="150" t="s">
        <v>74</v>
      </c>
      <c r="AS304" s="21">
        <f t="shared" si="45"/>
        <v>-261</v>
      </c>
      <c r="AT304" s="21">
        <f t="shared" si="46"/>
        <v>0</v>
      </c>
      <c r="AU304" s="21">
        <f t="shared" si="47"/>
        <v>-261</v>
      </c>
    </row>
    <row r="305" spans="1:47" x14ac:dyDescent="0.25">
      <c r="A305" s="4" t="s">
        <v>249</v>
      </c>
      <c r="B305" s="4" t="s">
        <v>252</v>
      </c>
      <c r="C305" s="5" t="s">
        <v>60</v>
      </c>
      <c r="D305" s="151"/>
      <c r="E305" s="153"/>
      <c r="F305" s="151"/>
      <c r="G305" s="153"/>
      <c r="H305" s="151"/>
      <c r="I305" s="153"/>
      <c r="J305" s="151">
        <v>60</v>
      </c>
      <c r="K305" s="153">
        <v>60</v>
      </c>
      <c r="L305" s="151">
        <v>1450</v>
      </c>
      <c r="M305" s="153">
        <v>1100</v>
      </c>
      <c r="N305" s="151">
        <v>68</v>
      </c>
      <c r="O305" s="153">
        <v>70</v>
      </c>
      <c r="P305" s="151">
        <v>1800</v>
      </c>
      <c r="Q305" s="153">
        <v>1700</v>
      </c>
      <c r="R305" s="151"/>
      <c r="S305" s="153"/>
      <c r="T305" s="151"/>
      <c r="U305" s="153"/>
      <c r="V305" s="151"/>
      <c r="W305" s="153"/>
      <c r="X305" s="151"/>
      <c r="Y305" s="153"/>
      <c r="Z305" s="61">
        <f t="shared" si="52"/>
        <v>3378</v>
      </c>
      <c r="AA305" s="75">
        <f t="shared" si="52"/>
        <v>2930</v>
      </c>
      <c r="AB305" s="151"/>
      <c r="AC305" s="153"/>
      <c r="AD305" s="151">
        <v>400</v>
      </c>
      <c r="AE305" s="153">
        <v>400</v>
      </c>
      <c r="AF305" s="151">
        <v>500</v>
      </c>
      <c r="AG305" s="153">
        <v>500</v>
      </c>
      <c r="AH305" s="151"/>
      <c r="AI305" s="153"/>
      <c r="AJ305" s="151"/>
      <c r="AK305" s="153"/>
      <c r="AL305" s="151"/>
      <c r="AM305" s="153"/>
      <c r="AN305" s="151"/>
      <c r="AO305" s="153"/>
      <c r="AP305" s="61">
        <f t="shared" si="53"/>
        <v>4278</v>
      </c>
      <c r="AQ305" s="75">
        <f t="shared" si="53"/>
        <v>3830</v>
      </c>
      <c r="AR305" s="150" t="s">
        <v>74</v>
      </c>
      <c r="AS305" s="21">
        <f t="shared" si="45"/>
        <v>-448</v>
      </c>
      <c r="AT305" s="21">
        <f t="shared" si="46"/>
        <v>0</v>
      </c>
      <c r="AU305" s="21">
        <f t="shared" si="47"/>
        <v>-448</v>
      </c>
    </row>
    <row r="306" spans="1:47" ht="26.25" x14ac:dyDescent="0.25">
      <c r="A306" s="4" t="s">
        <v>249</v>
      </c>
      <c r="B306" s="4" t="s">
        <v>253</v>
      </c>
      <c r="C306" s="6" t="s">
        <v>165</v>
      </c>
      <c r="D306" s="151"/>
      <c r="E306" s="153"/>
      <c r="F306" s="151"/>
      <c r="G306" s="153"/>
      <c r="H306" s="151"/>
      <c r="I306" s="153"/>
      <c r="J306" s="151"/>
      <c r="K306" s="153"/>
      <c r="L306" s="151"/>
      <c r="M306" s="153"/>
      <c r="N306" s="151"/>
      <c r="O306" s="153"/>
      <c r="P306" s="151"/>
      <c r="Q306" s="153"/>
      <c r="R306" s="151"/>
      <c r="S306" s="153"/>
      <c r="T306" s="151"/>
      <c r="U306" s="153"/>
      <c r="V306" s="151"/>
      <c r="W306" s="153"/>
      <c r="X306" s="151"/>
      <c r="Y306" s="153"/>
      <c r="Z306" s="61">
        <f t="shared" si="52"/>
        <v>0</v>
      </c>
      <c r="AA306" s="75">
        <f t="shared" si="52"/>
        <v>0</v>
      </c>
      <c r="AB306" s="151"/>
      <c r="AC306" s="153"/>
      <c r="AD306" s="151">
        <v>1500</v>
      </c>
      <c r="AE306" s="153">
        <v>1400</v>
      </c>
      <c r="AF306" s="151">
        <v>2500</v>
      </c>
      <c r="AG306" s="153">
        <v>2200</v>
      </c>
      <c r="AH306" s="151"/>
      <c r="AI306" s="153"/>
      <c r="AJ306" s="151"/>
      <c r="AK306" s="153"/>
      <c r="AL306" s="151"/>
      <c r="AM306" s="153"/>
      <c r="AN306" s="151"/>
      <c r="AO306" s="153"/>
      <c r="AP306" s="61">
        <f t="shared" si="53"/>
        <v>4000</v>
      </c>
      <c r="AQ306" s="75">
        <f t="shared" si="53"/>
        <v>3600</v>
      </c>
      <c r="AR306" s="150" t="s">
        <v>167</v>
      </c>
      <c r="AS306" s="21">
        <f t="shared" si="45"/>
        <v>-400</v>
      </c>
      <c r="AT306" s="21">
        <f t="shared" si="46"/>
        <v>0</v>
      </c>
      <c r="AU306" s="21">
        <f t="shared" si="47"/>
        <v>-400</v>
      </c>
    </row>
    <row r="307" spans="1:47" ht="26.25" x14ac:dyDescent="0.25">
      <c r="A307" s="4" t="s">
        <v>249</v>
      </c>
      <c r="B307" s="4" t="s">
        <v>228</v>
      </c>
      <c r="C307" s="6" t="s">
        <v>165</v>
      </c>
      <c r="D307" s="151"/>
      <c r="E307" s="153"/>
      <c r="F307" s="151"/>
      <c r="G307" s="153"/>
      <c r="H307" s="151">
        <v>565</v>
      </c>
      <c r="I307" s="153">
        <v>565</v>
      </c>
      <c r="J307" s="151">
        <v>100</v>
      </c>
      <c r="K307" s="153">
        <v>100</v>
      </c>
      <c r="L307" s="151">
        <v>124</v>
      </c>
      <c r="M307" s="153">
        <v>120</v>
      </c>
      <c r="N307" s="151"/>
      <c r="O307" s="153"/>
      <c r="P307" s="151"/>
      <c r="Q307" s="153"/>
      <c r="R307" s="151"/>
      <c r="S307" s="153"/>
      <c r="T307" s="151"/>
      <c r="U307" s="153"/>
      <c r="V307" s="151"/>
      <c r="W307" s="153"/>
      <c r="X307" s="151"/>
      <c r="Y307" s="153"/>
      <c r="Z307" s="61">
        <f t="shared" si="52"/>
        <v>789</v>
      </c>
      <c r="AA307" s="75">
        <f t="shared" si="52"/>
        <v>785</v>
      </c>
      <c r="AB307" s="151"/>
      <c r="AC307" s="153"/>
      <c r="AD307" s="151">
        <v>1000</v>
      </c>
      <c r="AE307" s="153">
        <v>900</v>
      </c>
      <c r="AF307" s="151">
        <v>1500</v>
      </c>
      <c r="AG307" s="153">
        <v>1400</v>
      </c>
      <c r="AH307" s="151"/>
      <c r="AI307" s="153"/>
      <c r="AJ307" s="151"/>
      <c r="AK307" s="153"/>
      <c r="AL307" s="151"/>
      <c r="AM307" s="153"/>
      <c r="AN307" s="151"/>
      <c r="AO307" s="153"/>
      <c r="AP307" s="61">
        <f t="shared" si="53"/>
        <v>3289</v>
      </c>
      <c r="AQ307" s="75">
        <f t="shared" si="53"/>
        <v>3085</v>
      </c>
      <c r="AR307" s="150" t="s">
        <v>167</v>
      </c>
      <c r="AS307" s="21">
        <f t="shared" si="45"/>
        <v>-204</v>
      </c>
      <c r="AT307" s="21">
        <f t="shared" si="46"/>
        <v>0</v>
      </c>
      <c r="AU307" s="21">
        <f t="shared" si="47"/>
        <v>-204</v>
      </c>
    </row>
    <row r="308" spans="1:47" ht="26.25" x14ac:dyDescent="0.25">
      <c r="A308" s="4" t="s">
        <v>249</v>
      </c>
      <c r="B308" s="4" t="s">
        <v>254</v>
      </c>
      <c r="C308" s="5" t="s">
        <v>70</v>
      </c>
      <c r="D308" s="151">
        <v>1698</v>
      </c>
      <c r="E308" s="153">
        <v>1780</v>
      </c>
      <c r="F308" s="151">
        <v>0</v>
      </c>
      <c r="G308" s="153"/>
      <c r="H308" s="151"/>
      <c r="I308" s="153"/>
      <c r="J308" s="151"/>
      <c r="K308" s="153"/>
      <c r="L308" s="151"/>
      <c r="M308" s="153"/>
      <c r="N308" s="151"/>
      <c r="O308" s="153"/>
      <c r="P308" s="151"/>
      <c r="Q308" s="153"/>
      <c r="R308" s="151"/>
      <c r="S308" s="153"/>
      <c r="T308" s="151"/>
      <c r="U308" s="153"/>
      <c r="V308" s="151"/>
      <c r="W308" s="153"/>
      <c r="X308" s="151"/>
      <c r="Y308" s="153"/>
      <c r="Z308" s="61">
        <f t="shared" si="52"/>
        <v>1698</v>
      </c>
      <c r="AA308" s="75">
        <f t="shared" si="52"/>
        <v>1780</v>
      </c>
      <c r="AB308" s="151"/>
      <c r="AC308" s="153"/>
      <c r="AD308" s="151"/>
      <c r="AE308" s="153"/>
      <c r="AF308" s="151">
        <v>1600</v>
      </c>
      <c r="AG308" s="153">
        <v>1200</v>
      </c>
      <c r="AH308" s="151"/>
      <c r="AI308" s="153"/>
      <c r="AJ308" s="151"/>
      <c r="AK308" s="153"/>
      <c r="AL308" s="151"/>
      <c r="AM308" s="153"/>
      <c r="AN308" s="151"/>
      <c r="AO308" s="153"/>
      <c r="AP308" s="61">
        <f t="shared" si="53"/>
        <v>3298</v>
      </c>
      <c r="AQ308" s="75">
        <f t="shared" si="53"/>
        <v>2980</v>
      </c>
      <c r="AR308" s="150" t="s">
        <v>71</v>
      </c>
      <c r="AS308" s="21">
        <f t="shared" si="45"/>
        <v>-318</v>
      </c>
      <c r="AT308" s="21">
        <f t="shared" si="46"/>
        <v>82</v>
      </c>
      <c r="AU308" s="21">
        <f t="shared" si="47"/>
        <v>-400</v>
      </c>
    </row>
    <row r="309" spans="1:47" ht="26.25" x14ac:dyDescent="0.25">
      <c r="A309" s="4" t="s">
        <v>249</v>
      </c>
      <c r="B309" s="4" t="s">
        <v>255</v>
      </c>
      <c r="C309" s="5" t="s">
        <v>79</v>
      </c>
      <c r="D309" s="151">
        <v>8503</v>
      </c>
      <c r="E309" s="153">
        <v>8869</v>
      </c>
      <c r="F309" s="151">
        <v>230</v>
      </c>
      <c r="G309" s="153">
        <v>230</v>
      </c>
      <c r="H309" s="151"/>
      <c r="I309" s="153"/>
      <c r="J309" s="151">
        <v>105</v>
      </c>
      <c r="K309" s="153">
        <v>100</v>
      </c>
      <c r="L309" s="151">
        <v>1200</v>
      </c>
      <c r="M309" s="153">
        <v>1200</v>
      </c>
      <c r="N309" s="151"/>
      <c r="O309" s="153"/>
      <c r="P309" s="151">
        <v>3000</v>
      </c>
      <c r="Q309" s="153">
        <v>2700</v>
      </c>
      <c r="R309" s="151">
        <v>240</v>
      </c>
      <c r="S309" s="153">
        <v>240</v>
      </c>
      <c r="T309" s="151"/>
      <c r="U309" s="153"/>
      <c r="V309" s="151"/>
      <c r="W309" s="153"/>
      <c r="X309" s="151"/>
      <c r="Y309" s="153"/>
      <c r="Z309" s="61">
        <f t="shared" si="52"/>
        <v>13278</v>
      </c>
      <c r="AA309" s="75">
        <f t="shared" si="52"/>
        <v>13339</v>
      </c>
      <c r="AB309" s="151"/>
      <c r="AC309" s="153"/>
      <c r="AD309" s="151">
        <v>110</v>
      </c>
      <c r="AE309" s="153">
        <v>110</v>
      </c>
      <c r="AF309" s="151">
        <v>1600</v>
      </c>
      <c r="AG309" s="153">
        <v>1400</v>
      </c>
      <c r="AH309" s="151"/>
      <c r="AI309" s="153"/>
      <c r="AJ309" s="151"/>
      <c r="AK309" s="153"/>
      <c r="AL309" s="151"/>
      <c r="AM309" s="153"/>
      <c r="AN309" s="151"/>
      <c r="AO309" s="153"/>
      <c r="AP309" s="61">
        <f t="shared" si="53"/>
        <v>14988</v>
      </c>
      <c r="AQ309" s="75">
        <f t="shared" si="53"/>
        <v>14849</v>
      </c>
      <c r="AR309" s="150" t="s">
        <v>80</v>
      </c>
      <c r="AS309" s="21">
        <f t="shared" si="45"/>
        <v>-139</v>
      </c>
      <c r="AT309" s="21">
        <f t="shared" si="46"/>
        <v>366</v>
      </c>
      <c r="AU309" s="21">
        <f t="shared" si="47"/>
        <v>-505</v>
      </c>
    </row>
    <row r="310" spans="1:47" x14ac:dyDescent="0.25">
      <c r="A310" s="4" t="s">
        <v>249</v>
      </c>
      <c r="B310" s="4" t="s">
        <v>256</v>
      </c>
      <c r="C310" s="5" t="s">
        <v>73</v>
      </c>
      <c r="D310" s="151">
        <v>6924</v>
      </c>
      <c r="E310" s="153">
        <v>7519</v>
      </c>
      <c r="F310" s="151">
        <v>45</v>
      </c>
      <c r="G310" s="153">
        <v>45</v>
      </c>
      <c r="H310" s="151"/>
      <c r="I310" s="153"/>
      <c r="J310" s="151">
        <v>45</v>
      </c>
      <c r="K310" s="153">
        <v>45</v>
      </c>
      <c r="L310" s="151">
        <v>230</v>
      </c>
      <c r="M310" s="153">
        <v>200</v>
      </c>
      <c r="N310" s="151">
        <v>4</v>
      </c>
      <c r="O310" s="153">
        <v>30</v>
      </c>
      <c r="P310" s="151">
        <v>350</v>
      </c>
      <c r="Q310" s="153">
        <v>150</v>
      </c>
      <c r="R310" s="151">
        <v>50</v>
      </c>
      <c r="S310" s="153">
        <v>20</v>
      </c>
      <c r="T310" s="151"/>
      <c r="U310" s="153"/>
      <c r="V310" s="151"/>
      <c r="W310" s="153"/>
      <c r="X310" s="151"/>
      <c r="Y310" s="153"/>
      <c r="Z310" s="61">
        <f t="shared" si="52"/>
        <v>7648</v>
      </c>
      <c r="AA310" s="75">
        <f t="shared" si="52"/>
        <v>8009</v>
      </c>
      <c r="AB310" s="151">
        <v>20</v>
      </c>
      <c r="AC310" s="153">
        <v>20</v>
      </c>
      <c r="AD310" s="151">
        <v>1900</v>
      </c>
      <c r="AE310" s="153">
        <v>1800</v>
      </c>
      <c r="AF310" s="151">
        <v>2000</v>
      </c>
      <c r="AG310" s="153">
        <v>2000</v>
      </c>
      <c r="AH310" s="151">
        <v>1197</v>
      </c>
      <c r="AI310" s="153">
        <v>1151</v>
      </c>
      <c r="AJ310" s="151"/>
      <c r="AK310" s="153"/>
      <c r="AL310" s="151"/>
      <c r="AM310" s="153"/>
      <c r="AN310" s="151"/>
      <c r="AO310" s="153"/>
      <c r="AP310" s="61">
        <f t="shared" si="53"/>
        <v>12765</v>
      </c>
      <c r="AQ310" s="75">
        <f t="shared" si="53"/>
        <v>12980</v>
      </c>
      <c r="AR310" s="150" t="s">
        <v>74</v>
      </c>
      <c r="AS310" s="21">
        <f t="shared" si="45"/>
        <v>215</v>
      </c>
      <c r="AT310" s="21">
        <f t="shared" si="46"/>
        <v>595</v>
      </c>
      <c r="AU310" s="21">
        <f t="shared" si="47"/>
        <v>-380</v>
      </c>
    </row>
    <row r="311" spans="1:47" x14ac:dyDescent="0.25">
      <c r="A311" s="4" t="s">
        <v>249</v>
      </c>
      <c r="B311" s="4" t="s">
        <v>257</v>
      </c>
      <c r="C311" s="5" t="s">
        <v>73</v>
      </c>
      <c r="D311" s="151">
        <v>7728</v>
      </c>
      <c r="E311" s="153">
        <v>8379</v>
      </c>
      <c r="F311" s="151">
        <v>10</v>
      </c>
      <c r="G311" s="153">
        <v>10</v>
      </c>
      <c r="H311" s="151"/>
      <c r="I311" s="153"/>
      <c r="J311" s="151">
        <v>40</v>
      </c>
      <c r="K311" s="153">
        <v>40</v>
      </c>
      <c r="L311" s="151">
        <v>190</v>
      </c>
      <c r="M311" s="153">
        <v>150</v>
      </c>
      <c r="N311" s="151"/>
      <c r="O311" s="153">
        <v>30</v>
      </c>
      <c r="P311" s="151">
        <v>250</v>
      </c>
      <c r="Q311" s="153">
        <v>250</v>
      </c>
      <c r="R311" s="151">
        <v>20</v>
      </c>
      <c r="S311" s="153">
        <v>20</v>
      </c>
      <c r="T311" s="151"/>
      <c r="U311" s="153"/>
      <c r="V311" s="151"/>
      <c r="W311" s="153"/>
      <c r="X311" s="151"/>
      <c r="Y311" s="153"/>
      <c r="Z311" s="61">
        <f t="shared" si="52"/>
        <v>8238</v>
      </c>
      <c r="AA311" s="75">
        <f t="shared" si="52"/>
        <v>8879</v>
      </c>
      <c r="AB311" s="151"/>
      <c r="AC311" s="153"/>
      <c r="AD311" s="151">
        <v>430</v>
      </c>
      <c r="AE311" s="153">
        <v>390</v>
      </c>
      <c r="AF311" s="151">
        <v>1200</v>
      </c>
      <c r="AG311" s="153">
        <v>1200</v>
      </c>
      <c r="AH311" s="151">
        <v>1500</v>
      </c>
      <c r="AI311" s="153">
        <v>1450</v>
      </c>
      <c r="AJ311" s="151"/>
      <c r="AK311" s="153"/>
      <c r="AL311" s="151"/>
      <c r="AM311" s="153"/>
      <c r="AN311" s="151"/>
      <c r="AO311" s="153"/>
      <c r="AP311" s="61">
        <f t="shared" si="53"/>
        <v>11368</v>
      </c>
      <c r="AQ311" s="75">
        <f t="shared" si="53"/>
        <v>11919</v>
      </c>
      <c r="AR311" s="150" t="s">
        <v>74</v>
      </c>
      <c r="AS311" s="21">
        <f t="shared" si="45"/>
        <v>551</v>
      </c>
      <c r="AT311" s="21">
        <f t="shared" si="46"/>
        <v>651</v>
      </c>
      <c r="AU311" s="21">
        <f t="shared" si="47"/>
        <v>-100</v>
      </c>
    </row>
    <row r="312" spans="1:47" ht="26.25" x14ac:dyDescent="0.25">
      <c r="A312" s="4" t="s">
        <v>249</v>
      </c>
      <c r="B312" s="4" t="s">
        <v>258</v>
      </c>
      <c r="C312" s="5" t="s">
        <v>73</v>
      </c>
      <c r="D312" s="151">
        <v>36780</v>
      </c>
      <c r="E312" s="153">
        <v>37062</v>
      </c>
      <c r="F312" s="151">
        <v>340</v>
      </c>
      <c r="G312" s="153">
        <v>600</v>
      </c>
      <c r="H312" s="151"/>
      <c r="I312" s="153"/>
      <c r="J312" s="151">
        <v>650</v>
      </c>
      <c r="K312" s="153">
        <v>650</v>
      </c>
      <c r="L312" s="151">
        <v>2800</v>
      </c>
      <c r="M312" s="153">
        <v>2800</v>
      </c>
      <c r="N312" s="151">
        <v>280</v>
      </c>
      <c r="O312" s="153">
        <v>280</v>
      </c>
      <c r="P312" s="151">
        <v>6500</v>
      </c>
      <c r="Q312" s="153">
        <v>6100</v>
      </c>
      <c r="R312" s="151">
        <v>2000</v>
      </c>
      <c r="S312" s="153">
        <v>2000</v>
      </c>
      <c r="T312" s="151"/>
      <c r="U312" s="153"/>
      <c r="V312" s="151"/>
      <c r="W312" s="153"/>
      <c r="X312" s="151"/>
      <c r="Y312" s="153"/>
      <c r="Z312" s="61">
        <f t="shared" si="52"/>
        <v>49350</v>
      </c>
      <c r="AA312" s="75">
        <f t="shared" si="52"/>
        <v>49492</v>
      </c>
      <c r="AB312" s="151">
        <v>70</v>
      </c>
      <c r="AC312" s="153">
        <v>70</v>
      </c>
      <c r="AD312" s="151">
        <v>10410</v>
      </c>
      <c r="AE312" s="153">
        <v>8800</v>
      </c>
      <c r="AF312" s="151">
        <v>4000</v>
      </c>
      <c r="AG312" s="153">
        <v>3000</v>
      </c>
      <c r="AH312" s="151"/>
      <c r="AI312" s="153"/>
      <c r="AJ312" s="151"/>
      <c r="AK312" s="153"/>
      <c r="AL312" s="151"/>
      <c r="AM312" s="153"/>
      <c r="AN312" s="151"/>
      <c r="AO312" s="153"/>
      <c r="AP312" s="61">
        <f t="shared" si="53"/>
        <v>63830</v>
      </c>
      <c r="AQ312" s="75">
        <f t="shared" si="53"/>
        <v>61362</v>
      </c>
      <c r="AR312" s="150" t="s">
        <v>74</v>
      </c>
      <c r="AS312" s="21">
        <f t="shared" si="45"/>
        <v>-2468</v>
      </c>
      <c r="AT312" s="21">
        <f t="shared" si="46"/>
        <v>282</v>
      </c>
      <c r="AU312" s="21">
        <f t="shared" si="47"/>
        <v>-2750</v>
      </c>
    </row>
    <row r="313" spans="1:47" x14ac:dyDescent="0.25">
      <c r="A313" s="4" t="s">
        <v>249</v>
      </c>
      <c r="B313" s="4" t="s">
        <v>259</v>
      </c>
      <c r="C313" s="5" t="s">
        <v>73</v>
      </c>
      <c r="D313" s="151"/>
      <c r="E313" s="153"/>
      <c r="F313" s="151"/>
      <c r="G313" s="153"/>
      <c r="H313" s="151"/>
      <c r="I313" s="153"/>
      <c r="J313" s="151"/>
      <c r="K313" s="153"/>
      <c r="L313" s="151"/>
      <c r="M313" s="153"/>
      <c r="N313" s="151"/>
      <c r="O313" s="153"/>
      <c r="P313" s="151"/>
      <c r="Q313" s="153"/>
      <c r="R313" s="151"/>
      <c r="S313" s="153"/>
      <c r="T313" s="151"/>
      <c r="U313" s="153"/>
      <c r="V313" s="151"/>
      <c r="W313" s="153"/>
      <c r="X313" s="151"/>
      <c r="Y313" s="153"/>
      <c r="Z313" s="61">
        <f t="shared" si="52"/>
        <v>0</v>
      </c>
      <c r="AA313" s="75">
        <f t="shared" si="52"/>
        <v>0</v>
      </c>
      <c r="AB313" s="151"/>
      <c r="AC313" s="153"/>
      <c r="AD313" s="151">
        <v>5070</v>
      </c>
      <c r="AE313" s="153">
        <v>4000</v>
      </c>
      <c r="AF313" s="151"/>
      <c r="AG313" s="153"/>
      <c r="AH313" s="151"/>
      <c r="AI313" s="153"/>
      <c r="AJ313" s="151"/>
      <c r="AK313" s="153"/>
      <c r="AL313" s="151"/>
      <c r="AM313" s="153"/>
      <c r="AN313" s="151"/>
      <c r="AO313" s="153"/>
      <c r="AP313" s="61">
        <f t="shared" si="53"/>
        <v>5070</v>
      </c>
      <c r="AQ313" s="75">
        <f t="shared" si="53"/>
        <v>4000</v>
      </c>
      <c r="AR313" s="150" t="s">
        <v>74</v>
      </c>
      <c r="AS313" s="21">
        <f t="shared" si="45"/>
        <v>-1070</v>
      </c>
      <c r="AT313" s="21">
        <f t="shared" si="46"/>
        <v>0</v>
      </c>
      <c r="AU313" s="21">
        <f t="shared" si="47"/>
        <v>-1070</v>
      </c>
    </row>
    <row r="314" spans="1:47" x14ac:dyDescent="0.25">
      <c r="A314" s="4" t="s">
        <v>249</v>
      </c>
      <c r="B314" s="4" t="s">
        <v>97</v>
      </c>
      <c r="C314" s="5" t="s">
        <v>96</v>
      </c>
      <c r="D314" s="151"/>
      <c r="E314" s="153"/>
      <c r="F314" s="151"/>
      <c r="G314" s="153"/>
      <c r="H314" s="151"/>
      <c r="I314" s="153"/>
      <c r="J314" s="151"/>
      <c r="K314" s="153"/>
      <c r="L314" s="151"/>
      <c r="M314" s="153"/>
      <c r="N314" s="151"/>
      <c r="O314" s="153"/>
      <c r="P314" s="151"/>
      <c r="Q314" s="153"/>
      <c r="R314" s="151">
        <v>6200</v>
      </c>
      <c r="S314" s="153">
        <v>5000</v>
      </c>
      <c r="T314" s="151"/>
      <c r="U314" s="153"/>
      <c r="V314" s="151">
        <v>10000</v>
      </c>
      <c r="W314" s="153">
        <v>10000</v>
      </c>
      <c r="X314" s="151"/>
      <c r="Y314" s="153"/>
      <c r="Z314" s="61">
        <f t="shared" si="52"/>
        <v>16200</v>
      </c>
      <c r="AA314" s="75">
        <f t="shared" si="52"/>
        <v>15000</v>
      </c>
      <c r="AB314" s="151"/>
      <c r="AC314" s="153"/>
      <c r="AD314" s="151"/>
      <c r="AE314" s="153"/>
      <c r="AF314" s="151"/>
      <c r="AG314" s="153"/>
      <c r="AH314" s="151"/>
      <c r="AI314" s="153"/>
      <c r="AJ314" s="151"/>
      <c r="AK314" s="153"/>
      <c r="AL314" s="151"/>
      <c r="AM314" s="153"/>
      <c r="AN314" s="151"/>
      <c r="AO314" s="153"/>
      <c r="AP314" s="61">
        <f t="shared" si="53"/>
        <v>16200</v>
      </c>
      <c r="AQ314" s="75">
        <f t="shared" si="53"/>
        <v>15000</v>
      </c>
      <c r="AR314" s="150" t="s">
        <v>74</v>
      </c>
      <c r="AS314" s="21">
        <f t="shared" si="45"/>
        <v>-1200</v>
      </c>
      <c r="AT314" s="21">
        <f t="shared" si="46"/>
        <v>0</v>
      </c>
      <c r="AU314" s="21">
        <f t="shared" si="47"/>
        <v>-1200</v>
      </c>
    </row>
    <row r="315" spans="1:47" ht="30" x14ac:dyDescent="0.25">
      <c r="A315" s="4" t="s">
        <v>249</v>
      </c>
      <c r="B315" s="4" t="s">
        <v>260</v>
      </c>
      <c r="C315" s="5" t="s">
        <v>104</v>
      </c>
      <c r="D315" s="151"/>
      <c r="E315" s="153"/>
      <c r="F315" s="151">
        <v>50</v>
      </c>
      <c r="G315" s="153">
        <v>50</v>
      </c>
      <c r="H315" s="151"/>
      <c r="I315" s="153"/>
      <c r="J315" s="151"/>
      <c r="K315" s="153"/>
      <c r="L315" s="151"/>
      <c r="M315" s="153"/>
      <c r="N315" s="151"/>
      <c r="O315" s="153"/>
      <c r="P315" s="151"/>
      <c r="Q315" s="153"/>
      <c r="R315" s="151">
        <v>1330</v>
      </c>
      <c r="S315" s="153">
        <v>1000</v>
      </c>
      <c r="T315" s="151"/>
      <c r="U315" s="153"/>
      <c r="V315" s="151"/>
      <c r="W315" s="153"/>
      <c r="X315" s="151"/>
      <c r="Y315" s="153"/>
      <c r="Z315" s="61">
        <f t="shared" si="52"/>
        <v>1380</v>
      </c>
      <c r="AA315" s="75">
        <f t="shared" si="52"/>
        <v>1050</v>
      </c>
      <c r="AB315" s="151"/>
      <c r="AC315" s="153"/>
      <c r="AD315" s="151">
        <v>500</v>
      </c>
      <c r="AE315" s="153">
        <v>500</v>
      </c>
      <c r="AF315" s="151">
        <v>300</v>
      </c>
      <c r="AG315" s="153">
        <v>300</v>
      </c>
      <c r="AH315" s="151"/>
      <c r="AI315" s="153"/>
      <c r="AJ315" s="151"/>
      <c r="AK315" s="153"/>
      <c r="AL315" s="151"/>
      <c r="AM315" s="153"/>
      <c r="AN315" s="151"/>
      <c r="AO315" s="153"/>
      <c r="AP315" s="61">
        <f t="shared" si="53"/>
        <v>2180</v>
      </c>
      <c r="AQ315" s="75">
        <f t="shared" si="53"/>
        <v>1850</v>
      </c>
      <c r="AR315" s="150" t="s">
        <v>102</v>
      </c>
      <c r="AS315" s="21">
        <f t="shared" si="45"/>
        <v>-330</v>
      </c>
      <c r="AT315" s="21">
        <f t="shared" si="46"/>
        <v>0</v>
      </c>
      <c r="AU315" s="21">
        <f t="shared" si="47"/>
        <v>-330</v>
      </c>
    </row>
    <row r="316" spans="1:47" ht="30" x14ac:dyDescent="0.25">
      <c r="A316" s="4" t="s">
        <v>249</v>
      </c>
      <c r="B316" s="4" t="s">
        <v>100</v>
      </c>
      <c r="C316" s="5" t="s">
        <v>101</v>
      </c>
      <c r="D316" s="151"/>
      <c r="E316" s="153"/>
      <c r="F316" s="151"/>
      <c r="G316" s="153"/>
      <c r="H316" s="151"/>
      <c r="I316" s="153"/>
      <c r="J316" s="151"/>
      <c r="K316" s="153"/>
      <c r="L316" s="151"/>
      <c r="M316" s="153"/>
      <c r="N316" s="151"/>
      <c r="O316" s="153"/>
      <c r="P316" s="151"/>
      <c r="Q316" s="153"/>
      <c r="R316" s="151"/>
      <c r="S316" s="153"/>
      <c r="T316" s="151"/>
      <c r="U316" s="153"/>
      <c r="V316" s="151"/>
      <c r="W316" s="153"/>
      <c r="X316" s="151"/>
      <c r="Y316" s="153"/>
      <c r="Z316" s="61">
        <f t="shared" si="52"/>
        <v>0</v>
      </c>
      <c r="AA316" s="75">
        <f t="shared" si="52"/>
        <v>0</v>
      </c>
      <c r="AB316" s="151"/>
      <c r="AC316" s="153"/>
      <c r="AD316" s="151"/>
      <c r="AE316" s="153"/>
      <c r="AF316" s="151"/>
      <c r="AG316" s="153"/>
      <c r="AH316" s="151"/>
      <c r="AI316" s="153"/>
      <c r="AJ316" s="151"/>
      <c r="AK316" s="153"/>
      <c r="AL316" s="151">
        <v>14436</v>
      </c>
      <c r="AM316" s="153">
        <v>14430</v>
      </c>
      <c r="AN316" s="151"/>
      <c r="AO316" s="153"/>
      <c r="AP316" s="61">
        <f t="shared" si="53"/>
        <v>14436</v>
      </c>
      <c r="AQ316" s="75">
        <f t="shared" si="53"/>
        <v>14430</v>
      </c>
      <c r="AR316" s="150" t="s">
        <v>102</v>
      </c>
      <c r="AS316" s="21">
        <f t="shared" si="45"/>
        <v>-6</v>
      </c>
      <c r="AT316" s="21">
        <f t="shared" si="46"/>
        <v>0</v>
      </c>
      <c r="AU316" s="21">
        <f t="shared" si="47"/>
        <v>-6</v>
      </c>
    </row>
    <row r="317" spans="1:47" x14ac:dyDescent="0.25">
      <c r="A317" s="4" t="s">
        <v>249</v>
      </c>
      <c r="B317" s="4" t="s">
        <v>261</v>
      </c>
      <c r="C317" s="5" t="s">
        <v>73</v>
      </c>
      <c r="D317" s="151"/>
      <c r="E317" s="153"/>
      <c r="F317" s="151"/>
      <c r="G317" s="153"/>
      <c r="H317" s="151"/>
      <c r="I317" s="153"/>
      <c r="J317" s="151"/>
      <c r="K317" s="153"/>
      <c r="L317" s="151"/>
      <c r="M317" s="153"/>
      <c r="N317" s="151"/>
      <c r="O317" s="153"/>
      <c r="P317" s="151"/>
      <c r="Q317" s="153"/>
      <c r="R317" s="151"/>
      <c r="S317" s="153"/>
      <c r="T317" s="151"/>
      <c r="U317" s="153"/>
      <c r="V317" s="151"/>
      <c r="W317" s="153"/>
      <c r="X317" s="151"/>
      <c r="Y317" s="153"/>
      <c r="Z317" s="61">
        <f t="shared" si="52"/>
        <v>0</v>
      </c>
      <c r="AA317" s="75">
        <f t="shared" si="52"/>
        <v>0</v>
      </c>
      <c r="AB317" s="151"/>
      <c r="AC317" s="153"/>
      <c r="AD317" s="151">
        <v>2300</v>
      </c>
      <c r="AE317" s="153">
        <v>2500</v>
      </c>
      <c r="AF317" s="151"/>
      <c r="AG317" s="153"/>
      <c r="AH317" s="151"/>
      <c r="AI317" s="153"/>
      <c r="AJ317" s="151"/>
      <c r="AK317" s="153"/>
      <c r="AL317" s="151"/>
      <c r="AM317" s="153"/>
      <c r="AN317" s="151"/>
      <c r="AO317" s="153"/>
      <c r="AP317" s="61">
        <f t="shared" si="53"/>
        <v>2300</v>
      </c>
      <c r="AQ317" s="75">
        <f t="shared" si="53"/>
        <v>2500</v>
      </c>
      <c r="AR317" s="150" t="s">
        <v>58</v>
      </c>
      <c r="AS317" s="21">
        <f t="shared" si="45"/>
        <v>200</v>
      </c>
      <c r="AT317" s="21">
        <f t="shared" si="46"/>
        <v>0</v>
      </c>
      <c r="AU317" s="21">
        <f t="shared" si="47"/>
        <v>200</v>
      </c>
    </row>
    <row r="318" spans="1:47" x14ac:dyDescent="0.25">
      <c r="A318" s="4" t="s">
        <v>249</v>
      </c>
      <c r="B318" s="4" t="s">
        <v>262</v>
      </c>
      <c r="C318" s="5" t="s">
        <v>60</v>
      </c>
      <c r="D318" s="151"/>
      <c r="E318" s="153"/>
      <c r="F318" s="151"/>
      <c r="G318" s="153"/>
      <c r="H318" s="151"/>
      <c r="I318" s="153"/>
      <c r="J318" s="151"/>
      <c r="K318" s="153"/>
      <c r="L318" s="151"/>
      <c r="M318" s="153"/>
      <c r="N318" s="151"/>
      <c r="O318" s="153"/>
      <c r="P318" s="151"/>
      <c r="Q318" s="153"/>
      <c r="R318" s="151"/>
      <c r="S318" s="153"/>
      <c r="T318" s="151"/>
      <c r="U318" s="153"/>
      <c r="V318" s="151"/>
      <c r="W318" s="153"/>
      <c r="X318" s="151"/>
      <c r="Y318" s="153"/>
      <c r="Z318" s="61">
        <f t="shared" si="52"/>
        <v>0</v>
      </c>
      <c r="AA318" s="75">
        <f t="shared" si="52"/>
        <v>0</v>
      </c>
      <c r="AB318" s="151"/>
      <c r="AC318" s="153"/>
      <c r="AD318" s="151">
        <v>300</v>
      </c>
      <c r="AE318" s="153"/>
      <c r="AF318" s="151"/>
      <c r="AG318" s="153"/>
      <c r="AH318" s="151"/>
      <c r="AI318" s="153"/>
      <c r="AJ318" s="151"/>
      <c r="AK318" s="153"/>
      <c r="AL318" s="151"/>
      <c r="AM318" s="153"/>
      <c r="AN318" s="151"/>
      <c r="AO318" s="153"/>
      <c r="AP318" s="61">
        <f t="shared" si="53"/>
        <v>300</v>
      </c>
      <c r="AQ318" s="75">
        <f t="shared" si="53"/>
        <v>0</v>
      </c>
      <c r="AR318" s="150" t="s">
        <v>167</v>
      </c>
      <c r="AS318" s="21">
        <f t="shared" si="45"/>
        <v>-300</v>
      </c>
      <c r="AT318" s="21">
        <f t="shared" si="46"/>
        <v>0</v>
      </c>
      <c r="AU318" s="21">
        <f t="shared" si="47"/>
        <v>-300</v>
      </c>
    </row>
    <row r="319" spans="1:47" x14ac:dyDescent="0.25">
      <c r="A319" s="4" t="s">
        <v>249</v>
      </c>
      <c r="B319" s="4" t="s">
        <v>105</v>
      </c>
      <c r="C319" s="5"/>
      <c r="D319" s="151">
        <v>3458</v>
      </c>
      <c r="E319" s="153">
        <v>3776</v>
      </c>
      <c r="F319" s="151"/>
      <c r="G319" s="153"/>
      <c r="H319" s="151"/>
      <c r="I319" s="153"/>
      <c r="J319" s="151"/>
      <c r="K319" s="153"/>
      <c r="L319" s="151"/>
      <c r="M319" s="153"/>
      <c r="N319" s="151"/>
      <c r="O319" s="153"/>
      <c r="P319" s="151"/>
      <c r="Q319" s="153"/>
      <c r="R319" s="151"/>
      <c r="S319" s="153"/>
      <c r="T319" s="151"/>
      <c r="U319" s="153"/>
      <c r="V319" s="151"/>
      <c r="W319" s="153"/>
      <c r="X319" s="151"/>
      <c r="Y319" s="153"/>
      <c r="Z319" s="61">
        <f t="shared" si="52"/>
        <v>3458</v>
      </c>
      <c r="AA319" s="75">
        <f t="shared" si="52"/>
        <v>3776</v>
      </c>
      <c r="AB319" s="151"/>
      <c r="AC319" s="153"/>
      <c r="AD319" s="151"/>
      <c r="AE319" s="153"/>
      <c r="AF319" s="151"/>
      <c r="AG319" s="153"/>
      <c r="AH319" s="151"/>
      <c r="AI319" s="153"/>
      <c r="AJ319" s="151"/>
      <c r="AK319" s="153"/>
      <c r="AL319" s="151"/>
      <c r="AM319" s="153"/>
      <c r="AN319" s="151"/>
      <c r="AO319" s="153"/>
      <c r="AP319" s="61">
        <f t="shared" si="53"/>
        <v>3458</v>
      </c>
      <c r="AQ319" s="75">
        <f t="shared" si="53"/>
        <v>3776</v>
      </c>
      <c r="AR319" s="150" t="s">
        <v>58</v>
      </c>
      <c r="AS319" s="21">
        <f t="shared" si="45"/>
        <v>318</v>
      </c>
      <c r="AT319" s="21">
        <f t="shared" si="46"/>
        <v>318</v>
      </c>
      <c r="AU319" s="21">
        <f t="shared" si="47"/>
        <v>0</v>
      </c>
    </row>
    <row r="320" spans="1:47" x14ac:dyDescent="0.25">
      <c r="A320" s="4" t="s">
        <v>249</v>
      </c>
      <c r="B320" s="4" t="s">
        <v>106</v>
      </c>
      <c r="C320" s="5"/>
      <c r="D320" s="151">
        <v>3600</v>
      </c>
      <c r="E320" s="153">
        <v>3933</v>
      </c>
      <c r="F320" s="151"/>
      <c r="G320" s="153"/>
      <c r="H320" s="151"/>
      <c r="I320" s="153"/>
      <c r="J320" s="151"/>
      <c r="K320" s="153"/>
      <c r="L320" s="151"/>
      <c r="M320" s="153"/>
      <c r="N320" s="151"/>
      <c r="O320" s="153"/>
      <c r="P320" s="151"/>
      <c r="Q320" s="153"/>
      <c r="R320" s="151"/>
      <c r="S320" s="153"/>
      <c r="T320" s="151"/>
      <c r="U320" s="153"/>
      <c r="V320" s="151"/>
      <c r="W320" s="153"/>
      <c r="X320" s="151"/>
      <c r="Y320" s="153"/>
      <c r="Z320" s="61">
        <f t="shared" si="52"/>
        <v>3600</v>
      </c>
      <c r="AA320" s="75">
        <f t="shared" si="52"/>
        <v>3933</v>
      </c>
      <c r="AB320" s="151"/>
      <c r="AC320" s="153"/>
      <c r="AD320" s="151"/>
      <c r="AE320" s="153"/>
      <c r="AF320" s="151"/>
      <c r="AG320" s="153"/>
      <c r="AH320" s="151"/>
      <c r="AI320" s="153"/>
      <c r="AJ320" s="151"/>
      <c r="AK320" s="153"/>
      <c r="AL320" s="151"/>
      <c r="AM320" s="153"/>
      <c r="AN320" s="151"/>
      <c r="AO320" s="153"/>
      <c r="AP320" s="61">
        <f t="shared" si="53"/>
        <v>3600</v>
      </c>
      <c r="AQ320" s="75">
        <f t="shared" si="53"/>
        <v>3933</v>
      </c>
      <c r="AR320" s="150" t="s">
        <v>58</v>
      </c>
      <c r="AS320" s="21">
        <f t="shared" si="45"/>
        <v>333</v>
      </c>
      <c r="AT320" s="21">
        <f t="shared" si="46"/>
        <v>333</v>
      </c>
      <c r="AU320" s="21">
        <f t="shared" si="47"/>
        <v>0</v>
      </c>
    </row>
    <row r="321" spans="1:47" x14ac:dyDescent="0.25">
      <c r="A321" s="16" t="s">
        <v>263</v>
      </c>
      <c r="B321" s="16" t="s">
        <v>108</v>
      </c>
      <c r="C321" s="17"/>
      <c r="D321" s="18">
        <f t="shared" ref="D321:AQ321" si="54">SUM(D301:D320)</f>
        <v>184139</v>
      </c>
      <c r="E321" s="105">
        <f t="shared" si="54"/>
        <v>196490</v>
      </c>
      <c r="F321" s="18">
        <f t="shared" si="54"/>
        <v>5225</v>
      </c>
      <c r="G321" s="18">
        <f t="shared" si="54"/>
        <v>2335</v>
      </c>
      <c r="H321" s="18">
        <f t="shared" si="54"/>
        <v>565</v>
      </c>
      <c r="I321" s="18">
        <f t="shared" si="54"/>
        <v>565</v>
      </c>
      <c r="J321" s="18">
        <f t="shared" si="54"/>
        <v>2010</v>
      </c>
      <c r="K321" s="18">
        <f t="shared" si="54"/>
        <v>1995</v>
      </c>
      <c r="L321" s="18">
        <f t="shared" si="54"/>
        <v>12744</v>
      </c>
      <c r="M321" s="18">
        <f t="shared" si="54"/>
        <v>12270</v>
      </c>
      <c r="N321" s="18">
        <f t="shared" si="54"/>
        <v>1643</v>
      </c>
      <c r="O321" s="18">
        <f t="shared" si="54"/>
        <v>1690</v>
      </c>
      <c r="P321" s="18">
        <f t="shared" si="54"/>
        <v>16300</v>
      </c>
      <c r="Q321" s="18">
        <f t="shared" si="54"/>
        <v>14800</v>
      </c>
      <c r="R321" s="18">
        <f t="shared" si="54"/>
        <v>20180</v>
      </c>
      <c r="S321" s="18">
        <f t="shared" si="54"/>
        <v>20020</v>
      </c>
      <c r="T321" s="18">
        <f t="shared" si="54"/>
        <v>0</v>
      </c>
      <c r="U321" s="18">
        <f t="shared" si="54"/>
        <v>0</v>
      </c>
      <c r="V321" s="18">
        <f t="shared" si="54"/>
        <v>10000</v>
      </c>
      <c r="W321" s="18">
        <f t="shared" si="54"/>
        <v>10000</v>
      </c>
      <c r="X321" s="18">
        <f t="shared" si="54"/>
        <v>0</v>
      </c>
      <c r="Y321" s="18">
        <f t="shared" si="54"/>
        <v>0</v>
      </c>
      <c r="Z321" s="18">
        <f t="shared" si="54"/>
        <v>252806</v>
      </c>
      <c r="AA321" s="18">
        <f t="shared" si="54"/>
        <v>260165</v>
      </c>
      <c r="AB321" s="18">
        <f t="shared" si="54"/>
        <v>165</v>
      </c>
      <c r="AC321" s="18">
        <f t="shared" si="54"/>
        <v>165</v>
      </c>
      <c r="AD321" s="18">
        <f t="shared" si="54"/>
        <v>49320</v>
      </c>
      <c r="AE321" s="18">
        <f t="shared" si="54"/>
        <v>41150</v>
      </c>
      <c r="AF321" s="18">
        <f t="shared" si="54"/>
        <v>43550</v>
      </c>
      <c r="AG321" s="18">
        <f t="shared" si="54"/>
        <v>35500</v>
      </c>
      <c r="AH321" s="18">
        <f t="shared" si="54"/>
        <v>2697</v>
      </c>
      <c r="AI321" s="18">
        <f t="shared" si="54"/>
        <v>2601</v>
      </c>
      <c r="AJ321" s="18">
        <f t="shared" si="54"/>
        <v>0</v>
      </c>
      <c r="AK321" s="18">
        <f t="shared" si="54"/>
        <v>0</v>
      </c>
      <c r="AL321" s="18">
        <f t="shared" si="54"/>
        <v>14436</v>
      </c>
      <c r="AM321" s="18">
        <f t="shared" si="54"/>
        <v>14430</v>
      </c>
      <c r="AN321" s="18">
        <f t="shared" si="54"/>
        <v>0</v>
      </c>
      <c r="AO321" s="18">
        <f t="shared" si="54"/>
        <v>0</v>
      </c>
      <c r="AP321" s="18">
        <f t="shared" si="54"/>
        <v>362974</v>
      </c>
      <c r="AQ321" s="18">
        <f t="shared" si="54"/>
        <v>354011</v>
      </c>
      <c r="AR321" s="150"/>
      <c r="AS321" s="156">
        <f t="shared" si="45"/>
        <v>-8963</v>
      </c>
      <c r="AT321" s="156">
        <f t="shared" si="46"/>
        <v>12351</v>
      </c>
      <c r="AU321" s="156">
        <f t="shared" si="47"/>
        <v>-21314</v>
      </c>
    </row>
    <row r="322" spans="1:47" x14ac:dyDescent="0.25">
      <c r="A322" s="4" t="s">
        <v>264</v>
      </c>
      <c r="B322" s="4" t="s">
        <v>125</v>
      </c>
      <c r="C322" s="5" t="s">
        <v>57</v>
      </c>
      <c r="D322" s="151">
        <v>27966</v>
      </c>
      <c r="E322" s="153">
        <v>24056</v>
      </c>
      <c r="F322" s="151">
        <v>1274</v>
      </c>
      <c r="G322" s="153">
        <v>1274</v>
      </c>
      <c r="H322" s="151">
        <v>1864</v>
      </c>
      <c r="I322" s="153">
        <v>1864</v>
      </c>
      <c r="J322" s="151"/>
      <c r="K322" s="153"/>
      <c r="L322" s="151">
        <v>1012</v>
      </c>
      <c r="M322" s="153">
        <v>1012</v>
      </c>
      <c r="N322" s="151"/>
      <c r="O322" s="153"/>
      <c r="P322" s="151"/>
      <c r="Q322" s="153"/>
      <c r="R322" s="151">
        <v>1440</v>
      </c>
      <c r="S322" s="153">
        <v>660</v>
      </c>
      <c r="T322" s="151"/>
      <c r="U322" s="153"/>
      <c r="V322" s="151"/>
      <c r="W322" s="153"/>
      <c r="X322" s="151"/>
      <c r="Y322" s="153"/>
      <c r="Z322" s="61">
        <f t="shared" ref="Z322:AA342" si="55">D322+F322+H322+J322+L322+P322+R322+T322+V322+X322+N322</f>
        <v>33556</v>
      </c>
      <c r="AA322" s="75">
        <f t="shared" si="55"/>
        <v>28866</v>
      </c>
      <c r="AB322" s="151">
        <v>200</v>
      </c>
      <c r="AC322" s="153">
        <v>100</v>
      </c>
      <c r="AD322" s="151">
        <v>1880</v>
      </c>
      <c r="AE322" s="153">
        <v>1770</v>
      </c>
      <c r="AF322" s="151">
        <v>2325</v>
      </c>
      <c r="AG322" s="153">
        <v>2090</v>
      </c>
      <c r="AH322" s="151"/>
      <c r="AI322" s="153"/>
      <c r="AJ322" s="151"/>
      <c r="AK322" s="153"/>
      <c r="AL322" s="151"/>
      <c r="AM322" s="153"/>
      <c r="AN322" s="151"/>
      <c r="AO322" s="153"/>
      <c r="AP322" s="61">
        <f t="shared" ref="AP322:AQ342" si="56">Z322+AB322+AD322+AF322+AH322+AJ322+AL322+AN322</f>
        <v>37961</v>
      </c>
      <c r="AQ322" s="75">
        <f t="shared" si="56"/>
        <v>32826</v>
      </c>
      <c r="AR322" s="150" t="s">
        <v>58</v>
      </c>
      <c r="AS322" s="21">
        <f t="shared" si="45"/>
        <v>-5135</v>
      </c>
      <c r="AT322" s="21">
        <f t="shared" si="46"/>
        <v>-3910</v>
      </c>
      <c r="AU322" s="21">
        <f t="shared" si="47"/>
        <v>-1225</v>
      </c>
    </row>
    <row r="323" spans="1:47" x14ac:dyDescent="0.25">
      <c r="A323" s="4" t="s">
        <v>264</v>
      </c>
      <c r="B323" s="4" t="s">
        <v>126</v>
      </c>
      <c r="C323" s="5" t="s">
        <v>73</v>
      </c>
      <c r="D323" s="151">
        <v>8279</v>
      </c>
      <c r="E323" s="153">
        <v>8973</v>
      </c>
      <c r="F323" s="151"/>
      <c r="G323" s="153"/>
      <c r="H323" s="151"/>
      <c r="I323" s="153"/>
      <c r="J323" s="151"/>
      <c r="K323" s="153"/>
      <c r="L323" s="151"/>
      <c r="M323" s="153"/>
      <c r="N323" s="151"/>
      <c r="O323" s="153"/>
      <c r="P323" s="151"/>
      <c r="Q323" s="74"/>
      <c r="R323" s="151">
        <v>396</v>
      </c>
      <c r="S323" s="153">
        <v>363</v>
      </c>
      <c r="T323" s="151"/>
      <c r="U323" s="153"/>
      <c r="V323" s="151"/>
      <c r="W323" s="153"/>
      <c r="X323" s="151"/>
      <c r="Y323" s="153"/>
      <c r="Z323" s="61">
        <f t="shared" si="55"/>
        <v>8675</v>
      </c>
      <c r="AA323" s="75">
        <f t="shared" si="55"/>
        <v>9336</v>
      </c>
      <c r="AB323" s="151">
        <v>50</v>
      </c>
      <c r="AC323" s="153">
        <v>50</v>
      </c>
      <c r="AD323" s="151">
        <v>170</v>
      </c>
      <c r="AE323" s="153">
        <v>170</v>
      </c>
      <c r="AF323" s="151">
        <v>1270</v>
      </c>
      <c r="AG323" s="153">
        <v>1250</v>
      </c>
      <c r="AH323" s="151">
        <v>1215</v>
      </c>
      <c r="AI323" s="153">
        <v>1178</v>
      </c>
      <c r="AJ323" s="151"/>
      <c r="AK323" s="153"/>
      <c r="AL323" s="151"/>
      <c r="AM323" s="153"/>
      <c r="AN323" s="151"/>
      <c r="AO323" s="153"/>
      <c r="AP323" s="61">
        <f t="shared" si="56"/>
        <v>11380</v>
      </c>
      <c r="AQ323" s="75">
        <f t="shared" si="56"/>
        <v>11984</v>
      </c>
      <c r="AR323" s="150" t="s">
        <v>74</v>
      </c>
      <c r="AS323" s="21">
        <f t="shared" si="45"/>
        <v>604</v>
      </c>
      <c r="AT323" s="21">
        <f t="shared" si="46"/>
        <v>694</v>
      </c>
      <c r="AU323" s="21">
        <f t="shared" si="47"/>
        <v>-90</v>
      </c>
    </row>
    <row r="324" spans="1:47" x14ac:dyDescent="0.25">
      <c r="A324" s="4" t="s">
        <v>264</v>
      </c>
      <c r="B324" s="4" t="s">
        <v>265</v>
      </c>
      <c r="C324" s="5" t="s">
        <v>73</v>
      </c>
      <c r="D324" s="151"/>
      <c r="E324" s="153"/>
      <c r="F324" s="151"/>
      <c r="G324" s="153"/>
      <c r="H324" s="151"/>
      <c r="I324" s="153"/>
      <c r="J324" s="151"/>
      <c r="K324" s="153"/>
      <c r="L324" s="151"/>
      <c r="M324" s="153"/>
      <c r="N324" s="151"/>
      <c r="O324" s="153"/>
      <c r="P324" s="151"/>
      <c r="Q324" s="153"/>
      <c r="R324" s="151"/>
      <c r="S324" s="153"/>
      <c r="T324" s="151"/>
      <c r="U324" s="153"/>
      <c r="V324" s="151"/>
      <c r="W324" s="153"/>
      <c r="X324" s="151"/>
      <c r="Y324" s="153"/>
      <c r="Z324" s="61">
        <f t="shared" si="55"/>
        <v>0</v>
      </c>
      <c r="AA324" s="75">
        <f t="shared" si="55"/>
        <v>0</v>
      </c>
      <c r="AB324" s="151"/>
      <c r="AC324" s="153"/>
      <c r="AD324" s="151">
        <v>720</v>
      </c>
      <c r="AE324" s="153">
        <v>720</v>
      </c>
      <c r="AF324" s="151">
        <v>30</v>
      </c>
      <c r="AG324" s="153">
        <v>0</v>
      </c>
      <c r="AH324" s="151"/>
      <c r="AI324" s="153"/>
      <c r="AJ324" s="151"/>
      <c r="AK324" s="153"/>
      <c r="AL324" s="151"/>
      <c r="AM324" s="153"/>
      <c r="AN324" s="151"/>
      <c r="AO324" s="153"/>
      <c r="AP324" s="61">
        <f t="shared" si="56"/>
        <v>750</v>
      </c>
      <c r="AQ324" s="75">
        <f t="shared" si="56"/>
        <v>720</v>
      </c>
      <c r="AR324" s="150" t="s">
        <v>58</v>
      </c>
      <c r="AS324" s="21">
        <f t="shared" si="45"/>
        <v>-30</v>
      </c>
      <c r="AT324" s="21">
        <f t="shared" si="46"/>
        <v>0</v>
      </c>
      <c r="AU324" s="21">
        <f t="shared" si="47"/>
        <v>-30</v>
      </c>
    </row>
    <row r="325" spans="1:47" x14ac:dyDescent="0.25">
      <c r="A325" s="4" t="s">
        <v>264</v>
      </c>
      <c r="B325" s="4" t="s">
        <v>98</v>
      </c>
      <c r="C325" s="5" t="s">
        <v>99</v>
      </c>
      <c r="D325" s="151"/>
      <c r="E325" s="153"/>
      <c r="F325" s="151"/>
      <c r="G325" s="153"/>
      <c r="H325" s="151"/>
      <c r="I325" s="153"/>
      <c r="J325" s="151"/>
      <c r="K325" s="153"/>
      <c r="L325" s="151"/>
      <c r="M325" s="153"/>
      <c r="N325" s="151"/>
      <c r="O325" s="153"/>
      <c r="P325" s="151"/>
      <c r="Q325" s="153"/>
      <c r="R325" s="151">
        <v>320</v>
      </c>
      <c r="S325" s="153">
        <v>320</v>
      </c>
      <c r="T325" s="151"/>
      <c r="U325" s="153"/>
      <c r="V325" s="151"/>
      <c r="W325" s="153"/>
      <c r="X325" s="151"/>
      <c r="Y325" s="153"/>
      <c r="Z325" s="61">
        <f t="shared" si="55"/>
        <v>320</v>
      </c>
      <c r="AA325" s="75">
        <f t="shared" si="55"/>
        <v>320</v>
      </c>
      <c r="AB325" s="151"/>
      <c r="AC325" s="153"/>
      <c r="AD325" s="151">
        <v>20</v>
      </c>
      <c r="AE325" s="153">
        <v>20</v>
      </c>
      <c r="AF325" s="151">
        <v>500</v>
      </c>
      <c r="AG325" s="153">
        <v>370</v>
      </c>
      <c r="AH325" s="151"/>
      <c r="AI325" s="153"/>
      <c r="AJ325" s="151"/>
      <c r="AK325" s="153"/>
      <c r="AL325" s="151"/>
      <c r="AM325" s="153"/>
      <c r="AN325" s="151"/>
      <c r="AO325" s="153"/>
      <c r="AP325" s="61">
        <f t="shared" si="56"/>
        <v>840</v>
      </c>
      <c r="AQ325" s="75">
        <f t="shared" si="56"/>
        <v>710</v>
      </c>
      <c r="AR325" s="150" t="s">
        <v>58</v>
      </c>
      <c r="AS325" s="21">
        <f t="shared" si="45"/>
        <v>-130</v>
      </c>
      <c r="AT325" s="21">
        <f t="shared" si="46"/>
        <v>0</v>
      </c>
      <c r="AU325" s="21">
        <f t="shared" si="47"/>
        <v>-130</v>
      </c>
    </row>
    <row r="326" spans="1:47" ht="30" x14ac:dyDescent="0.25">
      <c r="A326" s="4" t="s">
        <v>264</v>
      </c>
      <c r="B326" s="4" t="s">
        <v>224</v>
      </c>
      <c r="C326" s="5" t="s">
        <v>104</v>
      </c>
      <c r="D326" s="151"/>
      <c r="E326" s="153"/>
      <c r="F326" s="151"/>
      <c r="G326" s="153"/>
      <c r="H326" s="151"/>
      <c r="I326" s="153"/>
      <c r="J326" s="151"/>
      <c r="K326" s="153"/>
      <c r="L326" s="151"/>
      <c r="M326" s="153"/>
      <c r="N326" s="151"/>
      <c r="O326" s="153"/>
      <c r="P326" s="151"/>
      <c r="Q326" s="153"/>
      <c r="R326" s="151">
        <v>320</v>
      </c>
      <c r="S326" s="153">
        <v>320</v>
      </c>
      <c r="T326" s="151"/>
      <c r="U326" s="153"/>
      <c r="V326" s="151"/>
      <c r="W326" s="153"/>
      <c r="X326" s="151"/>
      <c r="Y326" s="153"/>
      <c r="Z326" s="61">
        <f t="shared" si="55"/>
        <v>320</v>
      </c>
      <c r="AA326" s="75">
        <f t="shared" si="55"/>
        <v>320</v>
      </c>
      <c r="AB326" s="151"/>
      <c r="AC326" s="153"/>
      <c r="AD326" s="151">
        <v>45</v>
      </c>
      <c r="AE326" s="153">
        <v>20</v>
      </c>
      <c r="AF326" s="151">
        <v>500</v>
      </c>
      <c r="AG326" s="153">
        <v>370</v>
      </c>
      <c r="AH326" s="151"/>
      <c r="AI326" s="153"/>
      <c r="AJ326" s="151"/>
      <c r="AK326" s="153"/>
      <c r="AL326" s="151"/>
      <c r="AM326" s="153"/>
      <c r="AN326" s="151"/>
      <c r="AO326" s="153"/>
      <c r="AP326" s="61">
        <f t="shared" si="56"/>
        <v>865</v>
      </c>
      <c r="AQ326" s="75">
        <f t="shared" si="56"/>
        <v>710</v>
      </c>
      <c r="AR326" s="150" t="s">
        <v>102</v>
      </c>
      <c r="AS326" s="21">
        <f t="shared" si="45"/>
        <v>-155</v>
      </c>
      <c r="AT326" s="21">
        <f t="shared" si="46"/>
        <v>0</v>
      </c>
      <c r="AU326" s="21">
        <f t="shared" si="47"/>
        <v>-155</v>
      </c>
    </row>
    <row r="327" spans="1:47" x14ac:dyDescent="0.25">
      <c r="A327" s="4" t="s">
        <v>264</v>
      </c>
      <c r="B327" s="4" t="s">
        <v>229</v>
      </c>
      <c r="C327" s="5" t="s">
        <v>60</v>
      </c>
      <c r="D327" s="151">
        <v>88198</v>
      </c>
      <c r="E327" s="153">
        <v>111468</v>
      </c>
      <c r="F327" s="151"/>
      <c r="G327" s="153"/>
      <c r="H327" s="151"/>
      <c r="I327" s="153"/>
      <c r="J327" s="151">
        <v>2912</v>
      </c>
      <c r="K327" s="153">
        <v>2912</v>
      </c>
      <c r="L327" s="151">
        <v>497</v>
      </c>
      <c r="M327" s="153">
        <v>648</v>
      </c>
      <c r="N327" s="151">
        <v>955</v>
      </c>
      <c r="O327" s="153">
        <v>955</v>
      </c>
      <c r="P327" s="151"/>
      <c r="Q327" s="153"/>
      <c r="R327" s="151">
        <v>2988</v>
      </c>
      <c r="S327" s="153">
        <v>3010</v>
      </c>
      <c r="T327" s="151"/>
      <c r="U327" s="153"/>
      <c r="V327" s="151"/>
      <c r="W327" s="153"/>
      <c r="X327" s="151"/>
      <c r="Y327" s="153"/>
      <c r="Z327" s="61">
        <f t="shared" si="55"/>
        <v>95550</v>
      </c>
      <c r="AA327" s="75">
        <f t="shared" si="55"/>
        <v>118993</v>
      </c>
      <c r="AB327" s="151">
        <v>50</v>
      </c>
      <c r="AC327" s="153">
        <v>50</v>
      </c>
      <c r="AD327" s="151">
        <v>5864</v>
      </c>
      <c r="AE327" s="153">
        <v>5860</v>
      </c>
      <c r="AF327" s="151">
        <v>2350</v>
      </c>
      <c r="AG327" s="153">
        <v>2350</v>
      </c>
      <c r="AH327" s="151"/>
      <c r="AI327" s="153"/>
      <c r="AJ327" s="151"/>
      <c r="AK327" s="153"/>
      <c r="AL327" s="151"/>
      <c r="AM327" s="153"/>
      <c r="AN327" s="151"/>
      <c r="AO327" s="153"/>
      <c r="AP327" s="61">
        <f t="shared" si="56"/>
        <v>103814</v>
      </c>
      <c r="AQ327" s="75">
        <f t="shared" si="56"/>
        <v>127253</v>
      </c>
      <c r="AR327" s="150" t="s">
        <v>167</v>
      </c>
      <c r="AS327" s="21">
        <f t="shared" si="45"/>
        <v>23439</v>
      </c>
      <c r="AT327" s="21">
        <f t="shared" si="46"/>
        <v>23270</v>
      </c>
      <c r="AU327" s="21">
        <f t="shared" si="47"/>
        <v>169</v>
      </c>
    </row>
    <row r="328" spans="1:47" x14ac:dyDescent="0.25">
      <c r="A328" s="4" t="s">
        <v>264</v>
      </c>
      <c r="B328" s="4" t="s">
        <v>77</v>
      </c>
      <c r="C328" s="5" t="s">
        <v>73</v>
      </c>
      <c r="D328" s="151">
        <v>19060</v>
      </c>
      <c r="E328" s="153">
        <v>19132</v>
      </c>
      <c r="F328" s="151">
        <v>294</v>
      </c>
      <c r="G328" s="153">
        <v>204</v>
      </c>
      <c r="H328" s="151">
        <v>1680</v>
      </c>
      <c r="I328" s="153">
        <v>1680</v>
      </c>
      <c r="J328" s="151"/>
      <c r="K328" s="153"/>
      <c r="L328" s="151">
        <v>2480</v>
      </c>
      <c r="M328" s="153">
        <v>2160</v>
      </c>
      <c r="N328" s="151"/>
      <c r="O328" s="153"/>
      <c r="P328" s="151"/>
      <c r="Q328" s="153"/>
      <c r="R328" s="151">
        <v>432</v>
      </c>
      <c r="S328" s="153">
        <v>660</v>
      </c>
      <c r="T328" s="151"/>
      <c r="U328" s="153"/>
      <c r="V328" s="151"/>
      <c r="W328" s="153"/>
      <c r="X328" s="151"/>
      <c r="Y328" s="153"/>
      <c r="Z328" s="61">
        <f t="shared" si="55"/>
        <v>23946</v>
      </c>
      <c r="AA328" s="75">
        <f t="shared" si="55"/>
        <v>23836</v>
      </c>
      <c r="AB328" s="151">
        <v>50</v>
      </c>
      <c r="AC328" s="153">
        <v>50</v>
      </c>
      <c r="AD328" s="151">
        <v>3740</v>
      </c>
      <c r="AE328" s="153">
        <v>3740</v>
      </c>
      <c r="AF328" s="151">
        <v>4140</v>
      </c>
      <c r="AG328" s="153">
        <v>3720</v>
      </c>
      <c r="AH328" s="151"/>
      <c r="AI328" s="153"/>
      <c r="AJ328" s="151"/>
      <c r="AK328" s="153"/>
      <c r="AL328" s="151"/>
      <c r="AM328" s="153"/>
      <c r="AN328" s="151"/>
      <c r="AO328" s="153"/>
      <c r="AP328" s="61">
        <f t="shared" si="56"/>
        <v>31876</v>
      </c>
      <c r="AQ328" s="75">
        <f t="shared" si="56"/>
        <v>31346</v>
      </c>
      <c r="AR328" s="150" t="s">
        <v>74</v>
      </c>
      <c r="AS328" s="21">
        <f t="shared" si="45"/>
        <v>-530</v>
      </c>
      <c r="AT328" s="21">
        <f t="shared" si="46"/>
        <v>72</v>
      </c>
      <c r="AU328" s="21">
        <f t="shared" si="47"/>
        <v>-602</v>
      </c>
    </row>
    <row r="329" spans="1:47" x14ac:dyDescent="0.25">
      <c r="A329" s="4" t="s">
        <v>264</v>
      </c>
      <c r="B329" s="4" t="s">
        <v>235</v>
      </c>
      <c r="C329" s="5" t="s">
        <v>79</v>
      </c>
      <c r="D329" s="151">
        <v>1980</v>
      </c>
      <c r="E329" s="153">
        <v>2076</v>
      </c>
      <c r="F329" s="151"/>
      <c r="G329" s="153"/>
      <c r="H329" s="151"/>
      <c r="I329" s="153"/>
      <c r="J329" s="151"/>
      <c r="K329" s="153"/>
      <c r="L329" s="151"/>
      <c r="M329" s="153"/>
      <c r="N329" s="151"/>
      <c r="O329" s="153"/>
      <c r="P329" s="151"/>
      <c r="Q329" s="153"/>
      <c r="R329" s="151"/>
      <c r="S329" s="153"/>
      <c r="T329" s="151"/>
      <c r="U329" s="153"/>
      <c r="V329" s="151"/>
      <c r="W329" s="153"/>
      <c r="X329" s="151"/>
      <c r="Y329" s="153"/>
      <c r="Z329" s="61">
        <f t="shared" si="55"/>
        <v>1980</v>
      </c>
      <c r="AA329" s="75">
        <f t="shared" si="55"/>
        <v>2076</v>
      </c>
      <c r="AB329" s="151"/>
      <c r="AC329" s="153"/>
      <c r="AD329" s="151">
        <v>100</v>
      </c>
      <c r="AE329" s="153">
        <v>90</v>
      </c>
      <c r="AF329" s="151">
        <v>650</v>
      </c>
      <c r="AG329" s="153">
        <v>250</v>
      </c>
      <c r="AH329" s="151"/>
      <c r="AI329" s="153"/>
      <c r="AJ329" s="151"/>
      <c r="AK329" s="153"/>
      <c r="AL329" s="151"/>
      <c r="AM329" s="153"/>
      <c r="AN329" s="151"/>
      <c r="AO329" s="153"/>
      <c r="AP329" s="61">
        <f t="shared" si="56"/>
        <v>2730</v>
      </c>
      <c r="AQ329" s="75">
        <f t="shared" si="56"/>
        <v>2416</v>
      </c>
      <c r="AR329" s="150"/>
      <c r="AS329" s="21">
        <f t="shared" ref="AS329:AS360" si="57">$AQ329-$AP329</f>
        <v>-314</v>
      </c>
      <c r="AT329" s="21">
        <f t="shared" ref="AT329:AT392" si="58">$E329-$D329</f>
        <v>96</v>
      </c>
      <c r="AU329" s="21">
        <f t="shared" ref="AU329:AU392" si="59">AQ329-E329-AP329+D329</f>
        <v>-410</v>
      </c>
    </row>
    <row r="330" spans="1:47" x14ac:dyDescent="0.25">
      <c r="A330" s="4" t="s">
        <v>264</v>
      </c>
      <c r="B330" s="4" t="s">
        <v>266</v>
      </c>
      <c r="C330" s="5" t="s">
        <v>67</v>
      </c>
      <c r="D330" s="151">
        <v>11138</v>
      </c>
      <c r="E330" s="153">
        <v>11420</v>
      </c>
      <c r="F330" s="151">
        <v>251</v>
      </c>
      <c r="G330" s="153">
        <v>204</v>
      </c>
      <c r="H330" s="151"/>
      <c r="I330" s="153"/>
      <c r="J330" s="151">
        <v>0</v>
      </c>
      <c r="K330" s="153"/>
      <c r="L330" s="151">
        <v>135</v>
      </c>
      <c r="M330" s="153">
        <v>134</v>
      </c>
      <c r="N330" s="151">
        <v>165</v>
      </c>
      <c r="O330" s="153"/>
      <c r="P330" s="151"/>
      <c r="Q330" s="153"/>
      <c r="R330" s="151"/>
      <c r="S330" s="153"/>
      <c r="T330" s="151"/>
      <c r="U330" s="153"/>
      <c r="V330" s="151"/>
      <c r="W330" s="153"/>
      <c r="X330" s="151"/>
      <c r="Y330" s="153"/>
      <c r="Z330" s="61">
        <f t="shared" si="55"/>
        <v>11689</v>
      </c>
      <c r="AA330" s="75">
        <f t="shared" si="55"/>
        <v>11758</v>
      </c>
      <c r="AB330" s="151">
        <v>60</v>
      </c>
      <c r="AC330" s="153">
        <v>50</v>
      </c>
      <c r="AD330" s="151">
        <v>45</v>
      </c>
      <c r="AE330" s="153">
        <v>45</v>
      </c>
      <c r="AF330" s="151">
        <v>520</v>
      </c>
      <c r="AG330" s="153">
        <v>520</v>
      </c>
      <c r="AH330" s="151"/>
      <c r="AI330" s="153"/>
      <c r="AJ330" s="151"/>
      <c r="AK330" s="153"/>
      <c r="AL330" s="151"/>
      <c r="AM330" s="153"/>
      <c r="AN330" s="151"/>
      <c r="AO330" s="153"/>
      <c r="AP330" s="61">
        <f t="shared" si="56"/>
        <v>12314</v>
      </c>
      <c r="AQ330" s="75">
        <f t="shared" si="56"/>
        <v>12373</v>
      </c>
      <c r="AR330" s="150" t="s">
        <v>68</v>
      </c>
      <c r="AS330" s="21">
        <f t="shared" si="57"/>
        <v>59</v>
      </c>
      <c r="AT330" s="21">
        <f t="shared" si="58"/>
        <v>282</v>
      </c>
      <c r="AU330" s="21">
        <f t="shared" si="59"/>
        <v>-223</v>
      </c>
    </row>
    <row r="331" spans="1:47" x14ac:dyDescent="0.25">
      <c r="A331" s="4" t="s">
        <v>264</v>
      </c>
      <c r="B331" s="4" t="s">
        <v>267</v>
      </c>
      <c r="C331" s="5" t="s">
        <v>268</v>
      </c>
      <c r="D331" s="151"/>
      <c r="E331" s="153"/>
      <c r="F331" s="151"/>
      <c r="G331" s="153"/>
      <c r="H331" s="151"/>
      <c r="I331" s="153"/>
      <c r="J331" s="151"/>
      <c r="K331" s="153"/>
      <c r="L331" s="151"/>
      <c r="M331" s="153"/>
      <c r="N331" s="151"/>
      <c r="O331" s="153"/>
      <c r="P331" s="151"/>
      <c r="Q331" s="153"/>
      <c r="R331" s="151"/>
      <c r="S331" s="153"/>
      <c r="T331" s="151"/>
      <c r="U331" s="153"/>
      <c r="V331" s="151"/>
      <c r="W331" s="153"/>
      <c r="X331" s="151">
        <v>218</v>
      </c>
      <c r="Y331" s="153">
        <v>218</v>
      </c>
      <c r="Z331" s="61">
        <f t="shared" si="55"/>
        <v>218</v>
      </c>
      <c r="AA331" s="75">
        <f t="shared" si="55"/>
        <v>218</v>
      </c>
      <c r="AB331" s="151"/>
      <c r="AC331" s="153"/>
      <c r="AD331" s="151"/>
      <c r="AE331" s="153"/>
      <c r="AF331" s="151"/>
      <c r="AG331" s="153"/>
      <c r="AH331" s="151"/>
      <c r="AI331" s="153"/>
      <c r="AJ331" s="151"/>
      <c r="AK331" s="153"/>
      <c r="AL331" s="151"/>
      <c r="AM331" s="153"/>
      <c r="AN331" s="151"/>
      <c r="AO331" s="153"/>
      <c r="AP331" s="61">
        <f t="shared" si="56"/>
        <v>218</v>
      </c>
      <c r="AQ331" s="75">
        <f t="shared" si="56"/>
        <v>218</v>
      </c>
      <c r="AR331" s="150" t="s">
        <v>167</v>
      </c>
      <c r="AS331" s="21">
        <f t="shared" si="57"/>
        <v>0</v>
      </c>
      <c r="AT331" s="21">
        <f t="shared" si="58"/>
        <v>0</v>
      </c>
      <c r="AU331" s="21">
        <f t="shared" si="59"/>
        <v>0</v>
      </c>
    </row>
    <row r="332" spans="1:47" x14ac:dyDescent="0.25">
      <c r="A332" s="4" t="s">
        <v>264</v>
      </c>
      <c r="B332" s="4" t="s">
        <v>181</v>
      </c>
      <c r="C332" s="5" t="s">
        <v>82</v>
      </c>
      <c r="D332" s="151">
        <v>13997</v>
      </c>
      <c r="E332" s="153">
        <v>16907</v>
      </c>
      <c r="F332" s="151">
        <v>205</v>
      </c>
      <c r="G332" s="153">
        <v>204</v>
      </c>
      <c r="H332" s="151">
        <v>2238</v>
      </c>
      <c r="I332" s="153">
        <v>2238</v>
      </c>
      <c r="J332" s="151"/>
      <c r="K332" s="153"/>
      <c r="L332" s="151">
        <v>1347</v>
      </c>
      <c r="M332" s="153">
        <v>1347</v>
      </c>
      <c r="N332" s="151"/>
      <c r="O332" s="153"/>
      <c r="P332" s="151"/>
      <c r="Q332" s="153"/>
      <c r="R332" s="151">
        <v>95</v>
      </c>
      <c r="S332" s="153">
        <v>95</v>
      </c>
      <c r="T332" s="151">
        <v>3704</v>
      </c>
      <c r="U332" s="153">
        <v>3549</v>
      </c>
      <c r="V332" s="151"/>
      <c r="W332" s="153"/>
      <c r="X332" s="151"/>
      <c r="Y332" s="153"/>
      <c r="Z332" s="61">
        <f t="shared" si="55"/>
        <v>21586</v>
      </c>
      <c r="AA332" s="75">
        <f t="shared" si="55"/>
        <v>24340</v>
      </c>
      <c r="AB332" s="151">
        <v>45</v>
      </c>
      <c r="AC332" s="153">
        <v>45</v>
      </c>
      <c r="AD332" s="151">
        <v>2090</v>
      </c>
      <c r="AE332" s="153">
        <v>2090</v>
      </c>
      <c r="AF332" s="151">
        <v>3825</v>
      </c>
      <c r="AG332" s="153">
        <v>3750</v>
      </c>
      <c r="AH332" s="151"/>
      <c r="AI332" s="153"/>
      <c r="AJ332" s="151"/>
      <c r="AK332" s="153"/>
      <c r="AL332" s="151"/>
      <c r="AM332" s="153"/>
      <c r="AN332" s="151"/>
      <c r="AO332" s="153"/>
      <c r="AP332" s="61">
        <f t="shared" si="56"/>
        <v>27546</v>
      </c>
      <c r="AQ332" s="75">
        <f t="shared" si="56"/>
        <v>30225</v>
      </c>
      <c r="AR332" s="150" t="s">
        <v>128</v>
      </c>
      <c r="AS332" s="21">
        <f t="shared" si="57"/>
        <v>2679</v>
      </c>
      <c r="AT332" s="21">
        <f t="shared" si="58"/>
        <v>2910</v>
      </c>
      <c r="AU332" s="21">
        <f t="shared" si="59"/>
        <v>-231</v>
      </c>
    </row>
    <row r="333" spans="1:47" ht="26.25" x14ac:dyDescent="0.25">
      <c r="A333" s="4" t="s">
        <v>264</v>
      </c>
      <c r="B333" s="4" t="s">
        <v>83</v>
      </c>
      <c r="C333" s="5" t="s">
        <v>82</v>
      </c>
      <c r="D333" s="151">
        <f>16142+420</f>
        <v>16562</v>
      </c>
      <c r="E333" s="153">
        <v>15820</v>
      </c>
      <c r="F333" s="151"/>
      <c r="G333" s="153"/>
      <c r="H333" s="151"/>
      <c r="I333" s="153"/>
      <c r="J333" s="151"/>
      <c r="K333" s="153"/>
      <c r="L333" s="151"/>
      <c r="M333" s="153"/>
      <c r="N333" s="151"/>
      <c r="O333" s="153"/>
      <c r="P333" s="151"/>
      <c r="Q333" s="153"/>
      <c r="R333" s="151"/>
      <c r="S333" s="153"/>
      <c r="T333" s="151"/>
      <c r="U333" s="153"/>
      <c r="V333" s="151"/>
      <c r="W333" s="153"/>
      <c r="X333" s="151"/>
      <c r="Y333" s="153"/>
      <c r="Z333" s="61">
        <f t="shared" si="55"/>
        <v>16562</v>
      </c>
      <c r="AA333" s="75">
        <f t="shared" si="55"/>
        <v>15820</v>
      </c>
      <c r="AB333" s="151"/>
      <c r="AC333" s="153"/>
      <c r="AD333" s="151"/>
      <c r="AE333" s="153"/>
      <c r="AF333" s="151"/>
      <c r="AG333" s="153"/>
      <c r="AH333" s="151"/>
      <c r="AI333" s="153"/>
      <c r="AJ333" s="151"/>
      <c r="AK333" s="153"/>
      <c r="AL333" s="151"/>
      <c r="AM333" s="153"/>
      <c r="AN333" s="151"/>
      <c r="AO333" s="153"/>
      <c r="AP333" s="61">
        <f t="shared" si="56"/>
        <v>16562</v>
      </c>
      <c r="AQ333" s="75">
        <f t="shared" si="56"/>
        <v>15820</v>
      </c>
      <c r="AR333" s="150" t="s">
        <v>128</v>
      </c>
      <c r="AS333" s="21">
        <f t="shared" si="57"/>
        <v>-742</v>
      </c>
      <c r="AT333" s="21">
        <f t="shared" si="58"/>
        <v>-742</v>
      </c>
      <c r="AU333" s="21">
        <f t="shared" si="59"/>
        <v>0</v>
      </c>
    </row>
    <row r="334" spans="1:47" x14ac:dyDescent="0.25">
      <c r="A334" s="4" t="s">
        <v>264</v>
      </c>
      <c r="B334" s="4" t="s">
        <v>85</v>
      </c>
      <c r="C334" s="5" t="s">
        <v>86</v>
      </c>
      <c r="D334" s="151">
        <v>28679</v>
      </c>
      <c r="E334" s="153">
        <v>32020</v>
      </c>
      <c r="F334" s="151">
        <v>1210</v>
      </c>
      <c r="G334" s="153">
        <v>1010</v>
      </c>
      <c r="H334" s="151">
        <v>21600</v>
      </c>
      <c r="I334" s="153">
        <v>21600</v>
      </c>
      <c r="J334" s="151"/>
      <c r="K334" s="153"/>
      <c r="L334" s="151">
        <v>7450</v>
      </c>
      <c r="M334" s="153">
        <v>6960</v>
      </c>
      <c r="N334" s="151"/>
      <c r="O334" s="153"/>
      <c r="P334" s="151">
        <v>688</v>
      </c>
      <c r="Q334" s="153">
        <v>688</v>
      </c>
      <c r="R334" s="151">
        <v>1020</v>
      </c>
      <c r="S334" s="153">
        <v>920</v>
      </c>
      <c r="T334" s="151">
        <v>1595</v>
      </c>
      <c r="U334" s="153">
        <f>1534+1050</f>
        <v>2584</v>
      </c>
      <c r="V334" s="151"/>
      <c r="W334" s="153"/>
      <c r="X334" s="151"/>
      <c r="Y334" s="153"/>
      <c r="Z334" s="61">
        <f t="shared" si="55"/>
        <v>62242</v>
      </c>
      <c r="AA334" s="75">
        <f t="shared" si="55"/>
        <v>65782</v>
      </c>
      <c r="AB334" s="151">
        <v>70</v>
      </c>
      <c r="AC334" s="153">
        <v>70</v>
      </c>
      <c r="AD334" s="151">
        <v>6423</v>
      </c>
      <c r="AE334" s="153">
        <v>5950</v>
      </c>
      <c r="AF334" s="151">
        <v>8060</v>
      </c>
      <c r="AG334" s="153">
        <v>7750</v>
      </c>
      <c r="AH334" s="151"/>
      <c r="AI334" s="153"/>
      <c r="AJ334" s="151"/>
      <c r="AK334" s="153"/>
      <c r="AL334" s="151"/>
      <c r="AM334" s="153"/>
      <c r="AN334" s="151"/>
      <c r="AO334" s="153"/>
      <c r="AP334" s="61">
        <f t="shared" si="56"/>
        <v>76795</v>
      </c>
      <c r="AQ334" s="75">
        <f t="shared" si="56"/>
        <v>79552</v>
      </c>
      <c r="AR334" s="150" t="s">
        <v>128</v>
      </c>
      <c r="AS334" s="21">
        <f t="shared" si="57"/>
        <v>2757</v>
      </c>
      <c r="AT334" s="21">
        <f t="shared" si="58"/>
        <v>3341</v>
      </c>
      <c r="AU334" s="21">
        <f t="shared" si="59"/>
        <v>-584</v>
      </c>
    </row>
    <row r="335" spans="1:47" ht="26.25" x14ac:dyDescent="0.25">
      <c r="A335" s="4" t="s">
        <v>264</v>
      </c>
      <c r="B335" s="4" t="s">
        <v>87</v>
      </c>
      <c r="C335" s="5" t="s">
        <v>86</v>
      </c>
      <c r="D335" s="151">
        <v>22981</v>
      </c>
      <c r="E335" s="153">
        <v>25598</v>
      </c>
      <c r="F335" s="151"/>
      <c r="G335" s="153"/>
      <c r="H335" s="151"/>
      <c r="I335" s="153"/>
      <c r="J335" s="151"/>
      <c r="K335" s="153"/>
      <c r="L335" s="151"/>
      <c r="M335" s="153"/>
      <c r="N335" s="151"/>
      <c r="O335" s="153"/>
      <c r="P335" s="151"/>
      <c r="Q335" s="153"/>
      <c r="R335" s="151"/>
      <c r="S335" s="153"/>
      <c r="T335" s="151"/>
      <c r="U335" s="153"/>
      <c r="V335" s="151"/>
      <c r="W335" s="153"/>
      <c r="X335" s="151"/>
      <c r="Y335" s="153"/>
      <c r="Z335" s="61">
        <f t="shared" si="55"/>
        <v>22981</v>
      </c>
      <c r="AA335" s="75">
        <f t="shared" si="55"/>
        <v>25598</v>
      </c>
      <c r="AB335" s="151"/>
      <c r="AC335" s="153"/>
      <c r="AD335" s="151"/>
      <c r="AE335" s="153"/>
      <c r="AF335" s="151"/>
      <c r="AG335" s="153"/>
      <c r="AH335" s="151"/>
      <c r="AI335" s="153"/>
      <c r="AJ335" s="151"/>
      <c r="AK335" s="153"/>
      <c r="AL335" s="151"/>
      <c r="AM335" s="153"/>
      <c r="AN335" s="151"/>
      <c r="AO335" s="153"/>
      <c r="AP335" s="61">
        <f t="shared" si="56"/>
        <v>22981</v>
      </c>
      <c r="AQ335" s="75">
        <f t="shared" si="56"/>
        <v>25598</v>
      </c>
      <c r="AR335" s="150" t="s">
        <v>128</v>
      </c>
      <c r="AS335" s="21">
        <f t="shared" si="57"/>
        <v>2617</v>
      </c>
      <c r="AT335" s="21">
        <f t="shared" si="58"/>
        <v>2617</v>
      </c>
      <c r="AU335" s="21">
        <f t="shared" si="59"/>
        <v>0</v>
      </c>
    </row>
    <row r="336" spans="1:47" ht="26.25" x14ac:dyDescent="0.25">
      <c r="A336" s="4" t="s">
        <v>264</v>
      </c>
      <c r="B336" s="4" t="s">
        <v>88</v>
      </c>
      <c r="C336" s="5" t="s">
        <v>86</v>
      </c>
      <c r="D336" s="151"/>
      <c r="E336" s="153"/>
      <c r="F336" s="151"/>
      <c r="G336" s="153"/>
      <c r="H336" s="151"/>
      <c r="I336" s="153"/>
      <c r="J336" s="151"/>
      <c r="K336" s="153"/>
      <c r="L336" s="151"/>
      <c r="M336" s="153"/>
      <c r="N336" s="151"/>
      <c r="O336" s="153"/>
      <c r="P336" s="151"/>
      <c r="Q336" s="153"/>
      <c r="R336" s="151"/>
      <c r="S336" s="153"/>
      <c r="T336" s="151">
        <v>886</v>
      </c>
      <c r="U336" s="153">
        <v>750</v>
      </c>
      <c r="V336" s="151"/>
      <c r="W336" s="153"/>
      <c r="X336" s="151"/>
      <c r="Y336" s="153"/>
      <c r="Z336" s="61">
        <f t="shared" si="55"/>
        <v>886</v>
      </c>
      <c r="AA336" s="75">
        <f t="shared" si="55"/>
        <v>750</v>
      </c>
      <c r="AB336" s="151"/>
      <c r="AC336" s="153"/>
      <c r="AD336" s="151"/>
      <c r="AE336" s="153"/>
      <c r="AF336" s="151"/>
      <c r="AG336" s="153"/>
      <c r="AH336" s="151"/>
      <c r="AI336" s="153"/>
      <c r="AJ336" s="151"/>
      <c r="AK336" s="153"/>
      <c r="AL336" s="151"/>
      <c r="AM336" s="153"/>
      <c r="AN336" s="151"/>
      <c r="AO336" s="153"/>
      <c r="AP336" s="61">
        <f t="shared" si="56"/>
        <v>886</v>
      </c>
      <c r="AQ336" s="75">
        <f t="shared" si="56"/>
        <v>750</v>
      </c>
      <c r="AR336" s="150" t="s">
        <v>128</v>
      </c>
      <c r="AS336" s="21">
        <f t="shared" si="57"/>
        <v>-136</v>
      </c>
      <c r="AT336" s="21">
        <f t="shared" si="58"/>
        <v>0</v>
      </c>
      <c r="AU336" s="21">
        <f t="shared" si="59"/>
        <v>-136</v>
      </c>
    </row>
    <row r="337" spans="1:47" x14ac:dyDescent="0.25">
      <c r="A337" s="4" t="s">
        <v>264</v>
      </c>
      <c r="B337" s="4" t="s">
        <v>90</v>
      </c>
      <c r="C337" s="5" t="s">
        <v>86</v>
      </c>
      <c r="D337" s="151"/>
      <c r="E337" s="153"/>
      <c r="F337" s="151"/>
      <c r="G337" s="153"/>
      <c r="H337" s="151"/>
      <c r="I337" s="153"/>
      <c r="J337" s="151"/>
      <c r="K337" s="153"/>
      <c r="L337" s="151"/>
      <c r="M337" s="153"/>
      <c r="N337" s="151"/>
      <c r="O337" s="153"/>
      <c r="P337" s="151"/>
      <c r="Q337" s="153"/>
      <c r="R337" s="151"/>
      <c r="S337" s="153"/>
      <c r="T337" s="151">
        <v>2205</v>
      </c>
      <c r="U337" s="153">
        <v>851</v>
      </c>
      <c r="V337" s="151"/>
      <c r="W337" s="153"/>
      <c r="X337" s="151"/>
      <c r="Y337" s="153"/>
      <c r="Z337" s="61">
        <f t="shared" si="55"/>
        <v>2205</v>
      </c>
      <c r="AA337" s="75">
        <f t="shared" si="55"/>
        <v>851</v>
      </c>
      <c r="AB337" s="151"/>
      <c r="AC337" s="153"/>
      <c r="AD337" s="151"/>
      <c r="AE337" s="153"/>
      <c r="AF337" s="151"/>
      <c r="AG337" s="153"/>
      <c r="AH337" s="151"/>
      <c r="AI337" s="153"/>
      <c r="AJ337" s="151"/>
      <c r="AK337" s="153"/>
      <c r="AL337" s="151"/>
      <c r="AM337" s="153"/>
      <c r="AN337" s="151"/>
      <c r="AO337" s="153"/>
      <c r="AP337" s="61">
        <f t="shared" si="56"/>
        <v>2205</v>
      </c>
      <c r="AQ337" s="75">
        <f t="shared" si="56"/>
        <v>851</v>
      </c>
      <c r="AR337" s="150" t="s">
        <v>80</v>
      </c>
      <c r="AS337" s="21">
        <f t="shared" si="57"/>
        <v>-1354</v>
      </c>
      <c r="AT337" s="21">
        <f t="shared" si="58"/>
        <v>0</v>
      </c>
      <c r="AU337" s="21">
        <f t="shared" si="59"/>
        <v>-1354</v>
      </c>
    </row>
    <row r="338" spans="1:47" x14ac:dyDescent="0.25">
      <c r="A338" s="4" t="s">
        <v>264</v>
      </c>
      <c r="B338" s="4" t="s">
        <v>69</v>
      </c>
      <c r="C338" s="5" t="s">
        <v>70</v>
      </c>
      <c r="D338" s="151">
        <v>1698</v>
      </c>
      <c r="E338" s="153">
        <v>1780</v>
      </c>
      <c r="F338" s="151"/>
      <c r="G338" s="153"/>
      <c r="H338" s="151"/>
      <c r="I338" s="153"/>
      <c r="J338" s="151"/>
      <c r="K338" s="153"/>
      <c r="L338" s="151"/>
      <c r="M338" s="153"/>
      <c r="N338" s="151"/>
      <c r="O338" s="153"/>
      <c r="P338" s="151"/>
      <c r="Q338" s="153"/>
      <c r="R338" s="151">
        <v>40</v>
      </c>
      <c r="S338" s="153">
        <v>40</v>
      </c>
      <c r="T338" s="151"/>
      <c r="U338" s="153"/>
      <c r="V338" s="151"/>
      <c r="W338" s="153"/>
      <c r="X338" s="151"/>
      <c r="Y338" s="153"/>
      <c r="Z338" s="61">
        <f t="shared" si="55"/>
        <v>1738</v>
      </c>
      <c r="AA338" s="75">
        <f t="shared" si="55"/>
        <v>1820</v>
      </c>
      <c r="AB338" s="151"/>
      <c r="AC338" s="153"/>
      <c r="AD338" s="151">
        <v>120</v>
      </c>
      <c r="AE338" s="153">
        <v>120</v>
      </c>
      <c r="AF338" s="151">
        <v>800</v>
      </c>
      <c r="AG338" s="153">
        <v>800</v>
      </c>
      <c r="AH338" s="151"/>
      <c r="AI338" s="153"/>
      <c r="AJ338" s="151"/>
      <c r="AK338" s="153"/>
      <c r="AL338" s="151"/>
      <c r="AM338" s="153"/>
      <c r="AN338" s="151"/>
      <c r="AO338" s="153"/>
      <c r="AP338" s="61">
        <f t="shared" si="56"/>
        <v>2658</v>
      </c>
      <c r="AQ338" s="75">
        <f t="shared" si="56"/>
        <v>2740</v>
      </c>
      <c r="AR338" s="150" t="s">
        <v>71</v>
      </c>
      <c r="AS338" s="21">
        <f t="shared" si="57"/>
        <v>82</v>
      </c>
      <c r="AT338" s="21">
        <f t="shared" si="58"/>
        <v>82</v>
      </c>
      <c r="AU338" s="21">
        <f t="shared" si="59"/>
        <v>0</v>
      </c>
    </row>
    <row r="339" spans="1:47" x14ac:dyDescent="0.25">
      <c r="A339" s="4" t="s">
        <v>264</v>
      </c>
      <c r="B339" s="4" t="s">
        <v>97</v>
      </c>
      <c r="C339" s="5" t="s">
        <v>96</v>
      </c>
      <c r="D339" s="151"/>
      <c r="E339" s="153"/>
      <c r="F339" s="151"/>
      <c r="G339" s="153"/>
      <c r="H339" s="151"/>
      <c r="I339" s="153"/>
      <c r="J339" s="151"/>
      <c r="K339" s="153"/>
      <c r="L339" s="151"/>
      <c r="M339" s="153"/>
      <c r="N339" s="151"/>
      <c r="O339" s="153"/>
      <c r="P339" s="151"/>
      <c r="Q339" s="153"/>
      <c r="R339" s="151"/>
      <c r="S339" s="153"/>
      <c r="T339" s="151"/>
      <c r="U339" s="153"/>
      <c r="V339" s="151">
        <v>5184</v>
      </c>
      <c r="W339" s="153">
        <v>5184</v>
      </c>
      <c r="X339" s="151"/>
      <c r="Y339" s="153"/>
      <c r="Z339" s="61">
        <f t="shared" si="55"/>
        <v>5184</v>
      </c>
      <c r="AA339" s="75">
        <f t="shared" si="55"/>
        <v>5184</v>
      </c>
      <c r="AB339" s="151"/>
      <c r="AC339" s="153"/>
      <c r="AD339" s="151"/>
      <c r="AE339" s="153"/>
      <c r="AF339" s="151"/>
      <c r="AG339" s="153"/>
      <c r="AH339" s="151"/>
      <c r="AI339" s="153"/>
      <c r="AJ339" s="151"/>
      <c r="AK339" s="153"/>
      <c r="AL339" s="151"/>
      <c r="AM339" s="153"/>
      <c r="AN339" s="151"/>
      <c r="AO339" s="153"/>
      <c r="AP339" s="61">
        <f t="shared" si="56"/>
        <v>5184</v>
      </c>
      <c r="AQ339" s="75">
        <f t="shared" si="56"/>
        <v>5184</v>
      </c>
      <c r="AR339" s="150" t="s">
        <v>80</v>
      </c>
      <c r="AS339" s="21">
        <f t="shared" si="57"/>
        <v>0</v>
      </c>
      <c r="AT339" s="21">
        <f t="shared" si="58"/>
        <v>0</v>
      </c>
      <c r="AU339" s="21">
        <f t="shared" si="59"/>
        <v>0</v>
      </c>
    </row>
    <row r="340" spans="1:47" ht="30" x14ac:dyDescent="0.25">
      <c r="A340" s="4" t="s">
        <v>264</v>
      </c>
      <c r="B340" s="4" t="s">
        <v>100</v>
      </c>
      <c r="C340" s="5" t="s">
        <v>101</v>
      </c>
      <c r="D340" s="151"/>
      <c r="E340" s="153"/>
      <c r="F340" s="151"/>
      <c r="G340" s="153"/>
      <c r="H340" s="151"/>
      <c r="I340" s="153"/>
      <c r="J340" s="151"/>
      <c r="K340" s="153"/>
      <c r="L340" s="151"/>
      <c r="M340" s="153"/>
      <c r="N340" s="151"/>
      <c r="O340" s="153"/>
      <c r="P340" s="151"/>
      <c r="Q340" s="153"/>
      <c r="R340" s="151"/>
      <c r="S340" s="153"/>
      <c r="T340" s="151"/>
      <c r="U340" s="153"/>
      <c r="V340" s="151"/>
      <c r="W340" s="153"/>
      <c r="X340" s="151"/>
      <c r="Y340" s="153"/>
      <c r="Z340" s="61">
        <f t="shared" si="55"/>
        <v>0</v>
      </c>
      <c r="AA340" s="75">
        <f t="shared" si="55"/>
        <v>0</v>
      </c>
      <c r="AB340" s="151"/>
      <c r="AC340" s="153"/>
      <c r="AD340" s="151"/>
      <c r="AE340" s="153"/>
      <c r="AF340" s="151"/>
      <c r="AG340" s="153"/>
      <c r="AH340" s="151"/>
      <c r="AI340" s="153"/>
      <c r="AJ340" s="151"/>
      <c r="AK340" s="153"/>
      <c r="AL340" s="151">
        <v>5338</v>
      </c>
      <c r="AM340" s="153">
        <v>5338</v>
      </c>
      <c r="AN340" s="151"/>
      <c r="AO340" s="153"/>
      <c r="AP340" s="61">
        <f t="shared" si="56"/>
        <v>5338</v>
      </c>
      <c r="AQ340" s="75">
        <f t="shared" si="56"/>
        <v>5338</v>
      </c>
      <c r="AR340" s="150" t="s">
        <v>102</v>
      </c>
      <c r="AS340" s="21">
        <f t="shared" si="57"/>
        <v>0</v>
      </c>
      <c r="AT340" s="21">
        <f t="shared" si="58"/>
        <v>0</v>
      </c>
      <c r="AU340" s="21">
        <f t="shared" si="59"/>
        <v>0</v>
      </c>
    </row>
    <row r="341" spans="1:47" x14ac:dyDescent="0.25">
      <c r="A341" s="4" t="s">
        <v>264</v>
      </c>
      <c r="B341" s="4" t="s">
        <v>105</v>
      </c>
      <c r="C341" s="5"/>
      <c r="D341" s="151">
        <v>5096</v>
      </c>
      <c r="E341" s="153">
        <v>5719</v>
      </c>
      <c r="F341" s="151"/>
      <c r="G341" s="153"/>
      <c r="H341" s="151"/>
      <c r="I341" s="153"/>
      <c r="J341" s="151"/>
      <c r="K341" s="153"/>
      <c r="L341" s="151"/>
      <c r="M341" s="153"/>
      <c r="N341" s="151"/>
      <c r="O341" s="153"/>
      <c r="P341" s="151"/>
      <c r="Q341" s="153"/>
      <c r="R341" s="151"/>
      <c r="S341" s="153"/>
      <c r="T341" s="151"/>
      <c r="U341" s="153"/>
      <c r="V341" s="151"/>
      <c r="W341" s="153"/>
      <c r="X341" s="151"/>
      <c r="Y341" s="153"/>
      <c r="Z341" s="61">
        <f t="shared" si="55"/>
        <v>5096</v>
      </c>
      <c r="AA341" s="75">
        <f t="shared" si="55"/>
        <v>5719</v>
      </c>
      <c r="AB341" s="151"/>
      <c r="AC341" s="153"/>
      <c r="AD341" s="151"/>
      <c r="AE341" s="153"/>
      <c r="AF341" s="151"/>
      <c r="AG341" s="153"/>
      <c r="AH341" s="151"/>
      <c r="AI341" s="153"/>
      <c r="AJ341" s="151"/>
      <c r="AK341" s="153"/>
      <c r="AL341" s="151"/>
      <c r="AM341" s="153"/>
      <c r="AN341" s="151"/>
      <c r="AO341" s="153"/>
      <c r="AP341" s="61">
        <f t="shared" si="56"/>
        <v>5096</v>
      </c>
      <c r="AQ341" s="75">
        <f t="shared" si="56"/>
        <v>5719</v>
      </c>
      <c r="AR341" s="150" t="s">
        <v>58</v>
      </c>
      <c r="AS341" s="21">
        <f t="shared" si="57"/>
        <v>623</v>
      </c>
      <c r="AT341" s="21">
        <f t="shared" si="58"/>
        <v>623</v>
      </c>
      <c r="AU341" s="21">
        <f t="shared" si="59"/>
        <v>0</v>
      </c>
    </row>
    <row r="342" spans="1:47" x14ac:dyDescent="0.25">
      <c r="A342" s="4" t="s">
        <v>264</v>
      </c>
      <c r="B342" s="4" t="s">
        <v>106</v>
      </c>
      <c r="C342" s="5"/>
      <c r="D342" s="151">
        <v>4087</v>
      </c>
      <c r="E342" s="153">
        <v>4746</v>
      </c>
      <c r="F342" s="151"/>
      <c r="G342" s="153"/>
      <c r="H342" s="151"/>
      <c r="I342" s="153"/>
      <c r="J342" s="151"/>
      <c r="K342" s="153"/>
      <c r="L342" s="151"/>
      <c r="M342" s="153"/>
      <c r="N342" s="151"/>
      <c r="O342" s="153"/>
      <c r="P342" s="151"/>
      <c r="Q342" s="153"/>
      <c r="R342" s="151"/>
      <c r="S342" s="153"/>
      <c r="T342" s="151"/>
      <c r="U342" s="153"/>
      <c r="V342" s="151"/>
      <c r="W342" s="153"/>
      <c r="X342" s="151"/>
      <c r="Y342" s="153"/>
      <c r="Z342" s="61">
        <f t="shared" si="55"/>
        <v>4087</v>
      </c>
      <c r="AA342" s="75">
        <f t="shared" si="55"/>
        <v>4746</v>
      </c>
      <c r="AB342" s="151"/>
      <c r="AC342" s="153"/>
      <c r="AD342" s="151"/>
      <c r="AE342" s="153"/>
      <c r="AF342" s="151"/>
      <c r="AG342" s="153"/>
      <c r="AH342" s="151"/>
      <c r="AI342" s="153"/>
      <c r="AJ342" s="151"/>
      <c r="AK342" s="153"/>
      <c r="AL342" s="151"/>
      <c r="AM342" s="153"/>
      <c r="AN342" s="151"/>
      <c r="AO342" s="153"/>
      <c r="AP342" s="61">
        <f t="shared" si="56"/>
        <v>4087</v>
      </c>
      <c r="AQ342" s="75">
        <f t="shared" si="56"/>
        <v>4746</v>
      </c>
      <c r="AR342" s="150" t="s">
        <v>58</v>
      </c>
      <c r="AS342" s="21">
        <f t="shared" si="57"/>
        <v>659</v>
      </c>
      <c r="AT342" s="21">
        <f t="shared" si="58"/>
        <v>659</v>
      </c>
      <c r="AU342" s="21">
        <f t="shared" si="59"/>
        <v>0</v>
      </c>
    </row>
    <row r="343" spans="1:47" x14ac:dyDescent="0.25">
      <c r="A343" s="16" t="s">
        <v>269</v>
      </c>
      <c r="B343" s="16" t="s">
        <v>108</v>
      </c>
      <c r="C343" s="17"/>
      <c r="D343" s="18">
        <f t="shared" ref="D343:AQ343" si="60">SUM(D322:D342)</f>
        <v>249721</v>
      </c>
      <c r="E343" s="105">
        <f t="shared" si="60"/>
        <v>279715</v>
      </c>
      <c r="F343" s="18">
        <f t="shared" si="60"/>
        <v>3234</v>
      </c>
      <c r="G343" s="18">
        <f t="shared" si="60"/>
        <v>2896</v>
      </c>
      <c r="H343" s="18">
        <f t="shared" si="60"/>
        <v>27382</v>
      </c>
      <c r="I343" s="18">
        <f t="shared" si="60"/>
        <v>27382</v>
      </c>
      <c r="J343" s="18">
        <f t="shared" si="60"/>
        <v>2912</v>
      </c>
      <c r="K343" s="18">
        <f t="shared" si="60"/>
        <v>2912</v>
      </c>
      <c r="L343" s="18">
        <f t="shared" si="60"/>
        <v>12921</v>
      </c>
      <c r="M343" s="18">
        <f t="shared" si="60"/>
        <v>12261</v>
      </c>
      <c r="N343" s="18">
        <f t="shared" si="60"/>
        <v>1120</v>
      </c>
      <c r="O343" s="18">
        <f t="shared" si="60"/>
        <v>955</v>
      </c>
      <c r="P343" s="18">
        <f t="shared" si="60"/>
        <v>688</v>
      </c>
      <c r="Q343" s="18">
        <f t="shared" si="60"/>
        <v>688</v>
      </c>
      <c r="R343" s="18">
        <f t="shared" si="60"/>
        <v>7051</v>
      </c>
      <c r="S343" s="18">
        <f t="shared" si="60"/>
        <v>6388</v>
      </c>
      <c r="T343" s="18">
        <f t="shared" si="60"/>
        <v>8390</v>
      </c>
      <c r="U343" s="18">
        <f t="shared" si="60"/>
        <v>7734</v>
      </c>
      <c r="V343" s="18">
        <f t="shared" si="60"/>
        <v>5184</v>
      </c>
      <c r="W343" s="18">
        <f t="shared" si="60"/>
        <v>5184</v>
      </c>
      <c r="X343" s="18">
        <f t="shared" si="60"/>
        <v>218</v>
      </c>
      <c r="Y343" s="18">
        <f t="shared" si="60"/>
        <v>218</v>
      </c>
      <c r="Z343" s="18">
        <f t="shared" si="60"/>
        <v>318821</v>
      </c>
      <c r="AA343" s="18">
        <f t="shared" si="60"/>
        <v>346333</v>
      </c>
      <c r="AB343" s="18">
        <f t="shared" si="60"/>
        <v>525</v>
      </c>
      <c r="AC343" s="18">
        <f t="shared" si="60"/>
        <v>415</v>
      </c>
      <c r="AD343" s="18">
        <f t="shared" si="60"/>
        <v>21217</v>
      </c>
      <c r="AE343" s="18">
        <f t="shared" si="60"/>
        <v>20595</v>
      </c>
      <c r="AF343" s="18">
        <f t="shared" si="60"/>
        <v>24970</v>
      </c>
      <c r="AG343" s="18">
        <f t="shared" si="60"/>
        <v>23220</v>
      </c>
      <c r="AH343" s="18">
        <f t="shared" si="60"/>
        <v>1215</v>
      </c>
      <c r="AI343" s="18">
        <f t="shared" si="60"/>
        <v>1178</v>
      </c>
      <c r="AJ343" s="18">
        <f t="shared" si="60"/>
        <v>0</v>
      </c>
      <c r="AK343" s="18">
        <f t="shared" si="60"/>
        <v>0</v>
      </c>
      <c r="AL343" s="18">
        <f t="shared" si="60"/>
        <v>5338</v>
      </c>
      <c r="AM343" s="18">
        <f t="shared" si="60"/>
        <v>5338</v>
      </c>
      <c r="AN343" s="18">
        <f t="shared" si="60"/>
        <v>0</v>
      </c>
      <c r="AO343" s="18">
        <f t="shared" si="60"/>
        <v>0</v>
      </c>
      <c r="AP343" s="18">
        <f t="shared" si="60"/>
        <v>372086</v>
      </c>
      <c r="AQ343" s="18">
        <f t="shared" si="60"/>
        <v>397079</v>
      </c>
      <c r="AR343" s="43"/>
      <c r="AS343" s="156">
        <f t="shared" si="57"/>
        <v>24993</v>
      </c>
      <c r="AT343" s="156">
        <f t="shared" si="58"/>
        <v>29994</v>
      </c>
      <c r="AU343" s="156">
        <f t="shared" si="59"/>
        <v>-5001</v>
      </c>
    </row>
    <row r="344" spans="1:47" ht="15.75" x14ac:dyDescent="0.25">
      <c r="A344" s="19"/>
      <c r="B344" s="19" t="s">
        <v>270</v>
      </c>
      <c r="C344" s="19"/>
      <c r="D344" s="19">
        <f t="shared" ref="D344:AQ344" si="61">D31+D58+D78+D103+D135+D156+D185+D211+D235+D252+D277+D300+D321+D343</f>
        <v>5138558</v>
      </c>
      <c r="E344" s="19">
        <f t="shared" si="61"/>
        <v>5596699</v>
      </c>
      <c r="F344" s="19">
        <f t="shared" si="61"/>
        <v>48197</v>
      </c>
      <c r="G344" s="19">
        <f t="shared" si="61"/>
        <v>43743</v>
      </c>
      <c r="H344" s="19">
        <f t="shared" si="61"/>
        <v>316866</v>
      </c>
      <c r="I344" s="19">
        <f t="shared" si="61"/>
        <v>354231</v>
      </c>
      <c r="J344" s="19">
        <f t="shared" si="61"/>
        <v>70103</v>
      </c>
      <c r="K344" s="19">
        <f t="shared" si="61"/>
        <v>73216</v>
      </c>
      <c r="L344" s="19">
        <f t="shared" si="61"/>
        <v>279504</v>
      </c>
      <c r="M344" s="19">
        <f t="shared" si="61"/>
        <v>274273</v>
      </c>
      <c r="N344" s="19">
        <f t="shared" si="61"/>
        <v>46797</v>
      </c>
      <c r="O344" s="19">
        <f t="shared" si="61"/>
        <v>47775</v>
      </c>
      <c r="P344" s="19">
        <f t="shared" si="61"/>
        <v>188665</v>
      </c>
      <c r="Q344" s="19">
        <f t="shared" si="61"/>
        <v>157824</v>
      </c>
      <c r="R344" s="19">
        <f t="shared" si="61"/>
        <v>222641</v>
      </c>
      <c r="S344" s="19">
        <f t="shared" si="61"/>
        <v>208178</v>
      </c>
      <c r="T344" s="19">
        <f t="shared" si="61"/>
        <v>343768</v>
      </c>
      <c r="U344" s="19">
        <f t="shared" si="61"/>
        <v>348209</v>
      </c>
      <c r="V344" s="19">
        <f t="shared" si="61"/>
        <v>185593</v>
      </c>
      <c r="W344" s="19">
        <f t="shared" si="61"/>
        <v>172563</v>
      </c>
      <c r="X344" s="19">
        <f t="shared" si="61"/>
        <v>1361</v>
      </c>
      <c r="Y344" s="19">
        <f t="shared" si="61"/>
        <v>1108</v>
      </c>
      <c r="Z344" s="19">
        <f t="shared" si="61"/>
        <v>6842053</v>
      </c>
      <c r="AA344" s="19">
        <f t="shared" si="61"/>
        <v>7277819</v>
      </c>
      <c r="AB344" s="19">
        <f t="shared" si="61"/>
        <v>4980</v>
      </c>
      <c r="AC344" s="19">
        <f t="shared" si="61"/>
        <v>2795</v>
      </c>
      <c r="AD344" s="19">
        <f t="shared" si="61"/>
        <v>571809</v>
      </c>
      <c r="AE344" s="19">
        <f t="shared" si="61"/>
        <v>525678</v>
      </c>
      <c r="AF344" s="19">
        <f t="shared" si="61"/>
        <v>532622</v>
      </c>
      <c r="AG344" s="19">
        <f t="shared" si="61"/>
        <v>505123</v>
      </c>
      <c r="AH344" s="19">
        <f t="shared" si="61"/>
        <v>33031</v>
      </c>
      <c r="AI344" s="19">
        <f t="shared" si="61"/>
        <v>32527</v>
      </c>
      <c r="AJ344" s="19">
        <f t="shared" si="61"/>
        <v>0</v>
      </c>
      <c r="AK344" s="19">
        <f t="shared" si="61"/>
        <v>0</v>
      </c>
      <c r="AL344" s="19">
        <f t="shared" si="61"/>
        <v>168731</v>
      </c>
      <c r="AM344" s="19">
        <f t="shared" si="61"/>
        <v>165815</v>
      </c>
      <c r="AN344" s="19">
        <f t="shared" si="61"/>
        <v>2197</v>
      </c>
      <c r="AO344" s="19">
        <f t="shared" si="61"/>
        <v>3226</v>
      </c>
      <c r="AP344" s="19">
        <f t="shared" si="61"/>
        <v>8155423</v>
      </c>
      <c r="AQ344" s="19">
        <f t="shared" si="61"/>
        <v>8512983</v>
      </c>
      <c r="AR344" s="150"/>
      <c r="AS344" s="157">
        <f>AS31+AS58+AS78+AS103+AS135+AS156+AS185+AS211+AS235+AS252+AS277+AS300+AS321+AS343</f>
        <v>357560</v>
      </c>
      <c r="AT344" s="157">
        <f>AT31+AT58+AT78+AT103+AT135+AT156+AT185+AT211+AT235+AT252+AT277+AT300+AT321+AT343</f>
        <v>458141</v>
      </c>
      <c r="AU344" s="157">
        <f>AU31+AU58+AU78+AU103+AU135+AU156+AU185+AU211+AU235+AU252+AU277+AU300+AU321+AU343</f>
        <v>-100581</v>
      </c>
    </row>
    <row r="345" spans="1:47" x14ac:dyDescent="0.25">
      <c r="A345" s="4" t="s">
        <v>271</v>
      </c>
      <c r="B345" s="4" t="s">
        <v>272</v>
      </c>
      <c r="C345" s="5" t="s">
        <v>82</v>
      </c>
      <c r="D345" s="151">
        <v>64462</v>
      </c>
      <c r="E345" s="153">
        <v>75059</v>
      </c>
      <c r="F345" s="151">
        <v>550</v>
      </c>
      <c r="G345" s="153">
        <v>900</v>
      </c>
      <c r="H345" s="151">
        <v>6700</v>
      </c>
      <c r="I345" s="153">
        <v>6700</v>
      </c>
      <c r="J345" s="151">
        <v>2388</v>
      </c>
      <c r="K345" s="153">
        <v>2300</v>
      </c>
      <c r="L345" s="151">
        <v>4100</v>
      </c>
      <c r="M345" s="153">
        <v>4100</v>
      </c>
      <c r="N345" s="151">
        <v>280</v>
      </c>
      <c r="O345" s="153">
        <v>280</v>
      </c>
      <c r="P345" s="151">
        <v>880</v>
      </c>
      <c r="Q345" s="153">
        <v>880</v>
      </c>
      <c r="R345" s="151">
        <v>530</v>
      </c>
      <c r="S345" s="153">
        <v>500</v>
      </c>
      <c r="T345" s="151">
        <v>17592</v>
      </c>
      <c r="U345" s="153">
        <v>16511</v>
      </c>
      <c r="V345" s="151"/>
      <c r="W345" s="153"/>
      <c r="X345" s="151"/>
      <c r="Y345" s="153"/>
      <c r="Z345" s="61">
        <f t="shared" ref="Z345:AA369" si="62">D345+F345+H345+J345+L345+P345+R345+T345+V345+X345+N345</f>
        <v>97482</v>
      </c>
      <c r="AA345" s="75">
        <f t="shared" si="62"/>
        <v>107230</v>
      </c>
      <c r="AB345" s="151"/>
      <c r="AC345" s="153"/>
      <c r="AD345" s="151">
        <v>3400</v>
      </c>
      <c r="AE345" s="153">
        <v>3000</v>
      </c>
      <c r="AF345" s="151">
        <v>3100</v>
      </c>
      <c r="AG345" s="153">
        <v>2800</v>
      </c>
      <c r="AH345" s="151"/>
      <c r="AI345" s="153"/>
      <c r="AJ345" s="151"/>
      <c r="AK345" s="153"/>
      <c r="AL345" s="151"/>
      <c r="AM345" s="153"/>
      <c r="AN345" s="151"/>
      <c r="AO345" s="153"/>
      <c r="AP345" s="61">
        <f t="shared" ref="AP345:AQ369" si="63">Z345+AB345+AD345+AF345+AH345+AJ345+AL345+AN345</f>
        <v>103982</v>
      </c>
      <c r="AQ345" s="75">
        <f t="shared" si="63"/>
        <v>113030</v>
      </c>
      <c r="AR345" s="150" t="s">
        <v>128</v>
      </c>
      <c r="AS345" s="21">
        <f t="shared" si="57"/>
        <v>9048</v>
      </c>
      <c r="AT345" s="21">
        <f t="shared" si="58"/>
        <v>10597</v>
      </c>
      <c r="AU345" s="21">
        <f t="shared" si="59"/>
        <v>-1549</v>
      </c>
    </row>
    <row r="346" spans="1:47" ht="26.25" x14ac:dyDescent="0.25">
      <c r="A346" s="4" t="s">
        <v>271</v>
      </c>
      <c r="B346" s="4" t="s">
        <v>273</v>
      </c>
      <c r="C346" s="5" t="s">
        <v>82</v>
      </c>
      <c r="D346" s="151">
        <f>71615+1482</f>
        <v>73097</v>
      </c>
      <c r="E346" s="153">
        <v>76853</v>
      </c>
      <c r="F346" s="151"/>
      <c r="G346" s="153"/>
      <c r="H346" s="151"/>
      <c r="I346" s="153"/>
      <c r="J346" s="151"/>
      <c r="K346" s="153"/>
      <c r="L346" s="151"/>
      <c r="M346" s="153"/>
      <c r="N346" s="151"/>
      <c r="O346" s="153"/>
      <c r="P346" s="151"/>
      <c r="Q346" s="153"/>
      <c r="R346" s="151"/>
      <c r="S346" s="153"/>
      <c r="T346" s="151"/>
      <c r="U346" s="153"/>
      <c r="V346" s="151"/>
      <c r="W346" s="153"/>
      <c r="X346" s="151"/>
      <c r="Y346" s="153"/>
      <c r="Z346" s="61">
        <f t="shared" si="62"/>
        <v>73097</v>
      </c>
      <c r="AA346" s="75">
        <f t="shared" si="62"/>
        <v>76853</v>
      </c>
      <c r="AB346" s="151"/>
      <c r="AC346" s="153"/>
      <c r="AD346" s="151"/>
      <c r="AE346" s="153"/>
      <c r="AF346" s="151"/>
      <c r="AG346" s="153"/>
      <c r="AH346" s="151"/>
      <c r="AI346" s="153"/>
      <c r="AJ346" s="151"/>
      <c r="AK346" s="153"/>
      <c r="AL346" s="151"/>
      <c r="AM346" s="153"/>
      <c r="AN346" s="151"/>
      <c r="AO346" s="153"/>
      <c r="AP346" s="61">
        <f t="shared" si="63"/>
        <v>73097</v>
      </c>
      <c r="AQ346" s="75">
        <f t="shared" si="63"/>
        <v>76853</v>
      </c>
      <c r="AR346" s="150" t="s">
        <v>128</v>
      </c>
      <c r="AS346" s="21">
        <f t="shared" si="57"/>
        <v>3756</v>
      </c>
      <c r="AT346" s="21">
        <f t="shared" si="58"/>
        <v>3756</v>
      </c>
      <c r="AU346" s="21">
        <f t="shared" si="59"/>
        <v>0</v>
      </c>
    </row>
    <row r="347" spans="1:47" ht="26.25" x14ac:dyDescent="0.25">
      <c r="A347" s="4" t="s">
        <v>271</v>
      </c>
      <c r="B347" s="4" t="s">
        <v>275</v>
      </c>
      <c r="C347" s="5" t="s">
        <v>93</v>
      </c>
      <c r="D347" s="151">
        <v>1272</v>
      </c>
      <c r="E347" s="153">
        <v>1610</v>
      </c>
      <c r="F347" s="151"/>
      <c r="G347" s="153"/>
      <c r="H347" s="151"/>
      <c r="I347" s="153"/>
      <c r="J347" s="151"/>
      <c r="K347" s="153"/>
      <c r="L347" s="151"/>
      <c r="M347" s="153"/>
      <c r="N347" s="151"/>
      <c r="O347" s="153"/>
      <c r="P347" s="151"/>
      <c r="Q347" s="153"/>
      <c r="R347" s="151"/>
      <c r="S347" s="153"/>
      <c r="T347" s="151"/>
      <c r="U347" s="153"/>
      <c r="V347" s="151"/>
      <c r="W347" s="153"/>
      <c r="X347" s="151"/>
      <c r="Y347" s="153"/>
      <c r="Z347" s="61">
        <f t="shared" si="62"/>
        <v>1272</v>
      </c>
      <c r="AA347" s="75">
        <f t="shared" si="62"/>
        <v>1610</v>
      </c>
      <c r="AB347" s="151"/>
      <c r="AC347" s="153"/>
      <c r="AD347" s="151"/>
      <c r="AE347" s="153"/>
      <c r="AF347" s="151"/>
      <c r="AG347" s="153"/>
      <c r="AH347" s="151"/>
      <c r="AI347" s="153"/>
      <c r="AJ347" s="151"/>
      <c r="AK347" s="153"/>
      <c r="AL347" s="151"/>
      <c r="AM347" s="153"/>
      <c r="AN347" s="151"/>
      <c r="AO347" s="153"/>
      <c r="AP347" s="61">
        <f t="shared" si="63"/>
        <v>1272</v>
      </c>
      <c r="AQ347" s="75">
        <f t="shared" si="63"/>
        <v>1610</v>
      </c>
      <c r="AR347" s="150" t="s">
        <v>128</v>
      </c>
      <c r="AS347" s="21">
        <f t="shared" si="57"/>
        <v>338</v>
      </c>
      <c r="AT347" s="21">
        <f t="shared" si="58"/>
        <v>338</v>
      </c>
      <c r="AU347" s="21">
        <f t="shared" si="59"/>
        <v>0</v>
      </c>
    </row>
    <row r="348" spans="1:47" x14ac:dyDescent="0.25">
      <c r="A348" s="4" t="s">
        <v>271</v>
      </c>
      <c r="B348" s="4" t="s">
        <v>276</v>
      </c>
      <c r="C348" s="5" t="s">
        <v>82</v>
      </c>
      <c r="D348" s="151">
        <v>122834</v>
      </c>
      <c r="E348" s="153">
        <v>144304</v>
      </c>
      <c r="F348" s="151">
        <v>600</v>
      </c>
      <c r="G348" s="153">
        <v>970</v>
      </c>
      <c r="H348" s="151">
        <v>21800</v>
      </c>
      <c r="I348" s="153">
        <v>21800</v>
      </c>
      <c r="J348" s="151">
        <v>8900</v>
      </c>
      <c r="K348" s="153">
        <v>8000</v>
      </c>
      <c r="L348" s="151">
        <v>9000</v>
      </c>
      <c r="M348" s="153">
        <v>9000</v>
      </c>
      <c r="N348" s="151">
        <v>1170</v>
      </c>
      <c r="O348" s="153">
        <v>1100</v>
      </c>
      <c r="P348" s="151"/>
      <c r="Q348" s="153"/>
      <c r="R348" s="151">
        <v>350</v>
      </c>
      <c r="S348" s="153">
        <v>350</v>
      </c>
      <c r="T348" s="151">
        <v>36879</v>
      </c>
      <c r="U348" s="153">
        <v>37034</v>
      </c>
      <c r="V348" s="151"/>
      <c r="W348" s="153"/>
      <c r="X348" s="151"/>
      <c r="Y348" s="153"/>
      <c r="Z348" s="61">
        <f t="shared" si="62"/>
        <v>201533</v>
      </c>
      <c r="AA348" s="75">
        <f t="shared" si="62"/>
        <v>222558</v>
      </c>
      <c r="AB348" s="151"/>
      <c r="AC348" s="153"/>
      <c r="AD348" s="151">
        <v>4680</v>
      </c>
      <c r="AE348" s="153">
        <v>4080</v>
      </c>
      <c r="AF348" s="151">
        <v>5623</v>
      </c>
      <c r="AG348" s="153">
        <v>5023</v>
      </c>
      <c r="AH348" s="151"/>
      <c r="AI348" s="153"/>
      <c r="AJ348" s="151"/>
      <c r="AK348" s="153"/>
      <c r="AL348" s="151"/>
      <c r="AM348" s="153"/>
      <c r="AN348" s="151"/>
      <c r="AO348" s="153"/>
      <c r="AP348" s="61">
        <f t="shared" si="63"/>
        <v>211836</v>
      </c>
      <c r="AQ348" s="75">
        <f t="shared" si="63"/>
        <v>231661</v>
      </c>
      <c r="AR348" s="150" t="s">
        <v>128</v>
      </c>
      <c r="AS348" s="21">
        <f t="shared" si="57"/>
        <v>19825</v>
      </c>
      <c r="AT348" s="21">
        <f t="shared" si="58"/>
        <v>21470</v>
      </c>
      <c r="AU348" s="21">
        <f t="shared" si="59"/>
        <v>-1645</v>
      </c>
    </row>
    <row r="349" spans="1:47" ht="26.25" x14ac:dyDescent="0.25">
      <c r="A349" s="4" t="s">
        <v>271</v>
      </c>
      <c r="B349" s="4" t="s">
        <v>277</v>
      </c>
      <c r="C349" s="5" t="s">
        <v>82</v>
      </c>
      <c r="D349" s="151">
        <f>138862+3042</f>
        <v>141904</v>
      </c>
      <c r="E349" s="153">
        <v>148070</v>
      </c>
      <c r="F349" s="151"/>
      <c r="G349" s="153"/>
      <c r="H349" s="151"/>
      <c r="I349" s="153"/>
      <c r="J349" s="151"/>
      <c r="K349" s="153"/>
      <c r="L349" s="151"/>
      <c r="M349" s="153"/>
      <c r="N349" s="151"/>
      <c r="O349" s="153"/>
      <c r="P349" s="151"/>
      <c r="Q349" s="153"/>
      <c r="R349" s="151"/>
      <c r="S349" s="153"/>
      <c r="T349" s="151"/>
      <c r="U349" s="153"/>
      <c r="V349" s="151"/>
      <c r="W349" s="153"/>
      <c r="X349" s="151"/>
      <c r="Y349" s="153"/>
      <c r="Z349" s="61">
        <f t="shared" si="62"/>
        <v>141904</v>
      </c>
      <c r="AA349" s="75">
        <f t="shared" si="62"/>
        <v>148070</v>
      </c>
      <c r="AB349" s="151"/>
      <c r="AC349" s="153"/>
      <c r="AD349" s="151"/>
      <c r="AE349" s="153"/>
      <c r="AF349" s="151"/>
      <c r="AG349" s="153"/>
      <c r="AH349" s="151"/>
      <c r="AI349" s="153"/>
      <c r="AJ349" s="151"/>
      <c r="AK349" s="153"/>
      <c r="AL349" s="151"/>
      <c r="AM349" s="153"/>
      <c r="AN349" s="151"/>
      <c r="AO349" s="153"/>
      <c r="AP349" s="61">
        <f t="shared" si="63"/>
        <v>141904</v>
      </c>
      <c r="AQ349" s="75">
        <f t="shared" si="63"/>
        <v>148070</v>
      </c>
      <c r="AR349" s="150" t="s">
        <v>128</v>
      </c>
      <c r="AS349" s="21">
        <f t="shared" si="57"/>
        <v>6166</v>
      </c>
      <c r="AT349" s="21">
        <f t="shared" si="58"/>
        <v>6166</v>
      </c>
      <c r="AU349" s="21">
        <f t="shared" si="59"/>
        <v>0</v>
      </c>
    </row>
    <row r="350" spans="1:47" x14ac:dyDescent="0.25">
      <c r="A350" s="4" t="s">
        <v>271</v>
      </c>
      <c r="B350" s="4" t="s">
        <v>280</v>
      </c>
      <c r="C350" s="5" t="s">
        <v>82</v>
      </c>
      <c r="D350" s="151">
        <v>177945</v>
      </c>
      <c r="E350" s="153">
        <v>206460</v>
      </c>
      <c r="F350" s="151">
        <v>1000</v>
      </c>
      <c r="G350" s="153">
        <v>1200</v>
      </c>
      <c r="H350" s="151">
        <v>38000</v>
      </c>
      <c r="I350" s="153">
        <v>38000</v>
      </c>
      <c r="J350" s="151">
        <v>10000</v>
      </c>
      <c r="K350" s="153">
        <v>10000</v>
      </c>
      <c r="L350" s="151">
        <v>31000</v>
      </c>
      <c r="M350" s="153">
        <v>30000</v>
      </c>
      <c r="N350" s="151">
        <v>932</v>
      </c>
      <c r="O350" s="153">
        <v>932</v>
      </c>
      <c r="P350" s="151"/>
      <c r="Q350" s="153"/>
      <c r="R350" s="151">
        <v>4300</v>
      </c>
      <c r="S350" s="153">
        <v>3300</v>
      </c>
      <c r="T350" s="151">
        <v>51644</v>
      </c>
      <c r="U350" s="153">
        <v>48249</v>
      </c>
      <c r="V350" s="151"/>
      <c r="W350" s="153"/>
      <c r="X350" s="151"/>
      <c r="Y350" s="153"/>
      <c r="Z350" s="61">
        <f t="shared" si="62"/>
        <v>314821</v>
      </c>
      <c r="AA350" s="75">
        <f t="shared" si="62"/>
        <v>338141</v>
      </c>
      <c r="AB350" s="151"/>
      <c r="AC350" s="153"/>
      <c r="AD350" s="151">
        <v>7300</v>
      </c>
      <c r="AE350" s="153">
        <v>7000</v>
      </c>
      <c r="AF350" s="151">
        <v>14300</v>
      </c>
      <c r="AG350" s="153">
        <v>13000</v>
      </c>
      <c r="AH350" s="151"/>
      <c r="AI350" s="153"/>
      <c r="AJ350" s="151"/>
      <c r="AK350" s="153"/>
      <c r="AL350" s="151"/>
      <c r="AM350" s="153"/>
      <c r="AN350" s="151"/>
      <c r="AO350" s="153"/>
      <c r="AP350" s="61">
        <f t="shared" si="63"/>
        <v>336421</v>
      </c>
      <c r="AQ350" s="75">
        <f t="shared" si="63"/>
        <v>358141</v>
      </c>
      <c r="AR350" s="150" t="s">
        <v>128</v>
      </c>
      <c r="AS350" s="21">
        <f t="shared" si="57"/>
        <v>21720</v>
      </c>
      <c r="AT350" s="21">
        <f t="shared" si="58"/>
        <v>28515</v>
      </c>
      <c r="AU350" s="21">
        <f t="shared" si="59"/>
        <v>-6795</v>
      </c>
    </row>
    <row r="351" spans="1:47" ht="26.25" x14ac:dyDescent="0.25">
      <c r="A351" s="4" t="s">
        <v>271</v>
      </c>
      <c r="B351" s="4" t="s">
        <v>281</v>
      </c>
      <c r="C351" s="5" t="s">
        <v>82</v>
      </c>
      <c r="D351" s="151">
        <f>4116+187525</f>
        <v>191641</v>
      </c>
      <c r="E351" s="153">
        <v>195905</v>
      </c>
      <c r="F351" s="151"/>
      <c r="G351" s="153"/>
      <c r="H351" s="151"/>
      <c r="I351" s="153"/>
      <c r="J351" s="151"/>
      <c r="K351" s="153"/>
      <c r="L351" s="151"/>
      <c r="M351" s="153"/>
      <c r="N351" s="151"/>
      <c r="O351" s="153"/>
      <c r="P351" s="151"/>
      <c r="Q351" s="153"/>
      <c r="R351" s="151"/>
      <c r="S351" s="153"/>
      <c r="T351" s="151"/>
      <c r="U351" s="153"/>
      <c r="V351" s="151"/>
      <c r="W351" s="153"/>
      <c r="X351" s="151"/>
      <c r="Y351" s="153"/>
      <c r="Z351" s="61">
        <f t="shared" si="62"/>
        <v>191641</v>
      </c>
      <c r="AA351" s="75">
        <f t="shared" si="62"/>
        <v>195905</v>
      </c>
      <c r="AB351" s="151"/>
      <c r="AC351" s="153"/>
      <c r="AD351" s="151"/>
      <c r="AE351" s="153"/>
      <c r="AF351" s="151"/>
      <c r="AG351" s="153"/>
      <c r="AH351" s="151"/>
      <c r="AI351" s="153"/>
      <c r="AJ351" s="151"/>
      <c r="AK351" s="153"/>
      <c r="AL351" s="151"/>
      <c r="AM351" s="153"/>
      <c r="AN351" s="151"/>
      <c r="AO351" s="153"/>
      <c r="AP351" s="61">
        <f t="shared" si="63"/>
        <v>191641</v>
      </c>
      <c r="AQ351" s="75">
        <f t="shared" si="63"/>
        <v>195905</v>
      </c>
      <c r="AR351" s="150" t="s">
        <v>128</v>
      </c>
      <c r="AS351" s="21">
        <f t="shared" si="57"/>
        <v>4264</v>
      </c>
      <c r="AT351" s="21">
        <f t="shared" si="58"/>
        <v>4264</v>
      </c>
      <c r="AU351" s="21">
        <f t="shared" si="59"/>
        <v>0</v>
      </c>
    </row>
    <row r="352" spans="1:47" ht="26.25" x14ac:dyDescent="0.25">
      <c r="A352" s="4" t="s">
        <v>271</v>
      </c>
      <c r="B352" s="4" t="s">
        <v>283</v>
      </c>
      <c r="C352" s="5" t="s">
        <v>93</v>
      </c>
      <c r="D352" s="151">
        <v>512</v>
      </c>
      <c r="E352" s="153">
        <v>1047</v>
      </c>
      <c r="F352" s="151"/>
      <c r="G352" s="153"/>
      <c r="H352" s="151"/>
      <c r="I352" s="153"/>
      <c r="J352" s="151"/>
      <c r="K352" s="153"/>
      <c r="L352" s="151"/>
      <c r="M352" s="153"/>
      <c r="N352" s="151"/>
      <c r="O352" s="153"/>
      <c r="P352" s="151"/>
      <c r="Q352" s="153"/>
      <c r="R352" s="151"/>
      <c r="S352" s="153"/>
      <c r="T352" s="151"/>
      <c r="U352" s="153"/>
      <c r="V352" s="151"/>
      <c r="W352" s="153"/>
      <c r="X352" s="151"/>
      <c r="Y352" s="153"/>
      <c r="Z352" s="61">
        <f t="shared" si="62"/>
        <v>512</v>
      </c>
      <c r="AA352" s="75">
        <f t="shared" si="62"/>
        <v>1047</v>
      </c>
      <c r="AB352" s="151"/>
      <c r="AC352" s="153"/>
      <c r="AD352" s="151"/>
      <c r="AE352" s="153"/>
      <c r="AF352" s="151"/>
      <c r="AG352" s="153"/>
      <c r="AH352" s="151"/>
      <c r="AI352" s="153"/>
      <c r="AJ352" s="151"/>
      <c r="AK352" s="153"/>
      <c r="AL352" s="151"/>
      <c r="AM352" s="153"/>
      <c r="AN352" s="151"/>
      <c r="AO352" s="153"/>
      <c r="AP352" s="61">
        <f t="shared" si="63"/>
        <v>512</v>
      </c>
      <c r="AQ352" s="75">
        <f t="shared" si="63"/>
        <v>1047</v>
      </c>
      <c r="AR352" s="150" t="s">
        <v>128</v>
      </c>
      <c r="AS352" s="21">
        <f t="shared" si="57"/>
        <v>535</v>
      </c>
      <c r="AT352" s="21">
        <f t="shared" si="58"/>
        <v>535</v>
      </c>
      <c r="AU352" s="21">
        <f t="shared" si="59"/>
        <v>0</v>
      </c>
    </row>
    <row r="353" spans="1:47" x14ac:dyDescent="0.25">
      <c r="A353" s="4" t="s">
        <v>271</v>
      </c>
      <c r="B353" s="4" t="s">
        <v>284</v>
      </c>
      <c r="C353" s="5" t="s">
        <v>86</v>
      </c>
      <c r="D353" s="151">
        <v>79978</v>
      </c>
      <c r="E353" s="153">
        <v>122513</v>
      </c>
      <c r="F353" s="151">
        <v>2500</v>
      </c>
      <c r="G353" s="153">
        <v>4000</v>
      </c>
      <c r="H353" s="151">
        <v>29000</v>
      </c>
      <c r="I353" s="153">
        <v>38556</v>
      </c>
      <c r="J353" s="151">
        <v>4000</v>
      </c>
      <c r="K353" s="153">
        <v>5860</v>
      </c>
      <c r="L353" s="151">
        <v>21000</v>
      </c>
      <c r="M353" s="73">
        <f>8640+43200</f>
        <v>51840</v>
      </c>
      <c r="N353" s="151">
        <v>2500</v>
      </c>
      <c r="O353" s="97">
        <v>2500</v>
      </c>
      <c r="P353" s="151"/>
      <c r="Q353" s="153"/>
      <c r="R353" s="151">
        <v>800</v>
      </c>
      <c r="S353" s="97">
        <v>800</v>
      </c>
      <c r="T353" s="151"/>
      <c r="U353" s="153"/>
      <c r="V353" s="151"/>
      <c r="W353" s="153"/>
      <c r="X353" s="151">
        <v>14661</v>
      </c>
      <c r="Y353" s="153"/>
      <c r="Z353" s="61">
        <f t="shared" si="62"/>
        <v>154439</v>
      </c>
      <c r="AA353" s="75">
        <f t="shared" si="62"/>
        <v>226069</v>
      </c>
      <c r="AB353" s="151">
        <v>40</v>
      </c>
      <c r="AC353" s="153"/>
      <c r="AD353" s="151">
        <v>12000</v>
      </c>
      <c r="AE353" s="153">
        <f>3000+4800+1253+4000</f>
        <v>13053</v>
      </c>
      <c r="AF353" s="151">
        <v>21000</v>
      </c>
      <c r="AG353" s="97">
        <v>21000</v>
      </c>
      <c r="AH353" s="151"/>
      <c r="AI353" s="153"/>
      <c r="AJ353" s="151"/>
      <c r="AK353" s="153"/>
      <c r="AL353" s="151"/>
      <c r="AM353" s="153"/>
      <c r="AN353" s="151"/>
      <c r="AO353" s="153"/>
      <c r="AP353" s="61">
        <f t="shared" si="63"/>
        <v>187479</v>
      </c>
      <c r="AQ353" s="75">
        <f t="shared" si="63"/>
        <v>260122</v>
      </c>
      <c r="AR353" s="150" t="s">
        <v>128</v>
      </c>
      <c r="AS353" s="21">
        <f t="shared" si="57"/>
        <v>72643</v>
      </c>
      <c r="AT353" s="21">
        <f t="shared" si="58"/>
        <v>42535</v>
      </c>
      <c r="AU353" s="21">
        <f t="shared" si="59"/>
        <v>30108</v>
      </c>
    </row>
    <row r="354" spans="1:47" ht="26.25" x14ac:dyDescent="0.25">
      <c r="A354" s="4" t="s">
        <v>271</v>
      </c>
      <c r="B354" s="4" t="s">
        <v>285</v>
      </c>
      <c r="C354" s="5" t="s">
        <v>86</v>
      </c>
      <c r="D354" s="151">
        <v>13332</v>
      </c>
      <c r="E354" s="153">
        <v>13407</v>
      </c>
      <c r="F354" s="151"/>
      <c r="G354" s="153"/>
      <c r="H354" s="151"/>
      <c r="I354" s="153"/>
      <c r="J354" s="151"/>
      <c r="K354" s="153"/>
      <c r="L354" s="151"/>
      <c r="M354" s="153"/>
      <c r="N354" s="151"/>
      <c r="O354" s="153"/>
      <c r="P354" s="151"/>
      <c r="Q354" s="153"/>
      <c r="R354" s="151"/>
      <c r="S354" s="153"/>
      <c r="T354" s="151"/>
      <c r="U354" s="153"/>
      <c r="V354" s="151"/>
      <c r="W354" s="153"/>
      <c r="X354" s="151"/>
      <c r="Y354" s="153"/>
      <c r="Z354" s="61">
        <f t="shared" si="62"/>
        <v>13332</v>
      </c>
      <c r="AA354" s="75">
        <f t="shared" si="62"/>
        <v>13407</v>
      </c>
      <c r="AB354" s="151"/>
      <c r="AC354" s="153"/>
      <c r="AD354" s="151"/>
      <c r="AE354" s="153"/>
      <c r="AF354" s="151"/>
      <c r="AG354" s="153"/>
      <c r="AH354" s="151"/>
      <c r="AI354" s="153"/>
      <c r="AJ354" s="151"/>
      <c r="AK354" s="153"/>
      <c r="AL354" s="151"/>
      <c r="AM354" s="153"/>
      <c r="AN354" s="151"/>
      <c r="AO354" s="153"/>
      <c r="AP354" s="61">
        <f t="shared" si="63"/>
        <v>13332</v>
      </c>
      <c r="AQ354" s="75">
        <f t="shared" si="63"/>
        <v>13407</v>
      </c>
      <c r="AR354" s="150" t="s">
        <v>128</v>
      </c>
      <c r="AS354" s="21">
        <f t="shared" si="57"/>
        <v>75</v>
      </c>
      <c r="AT354" s="21">
        <f t="shared" si="58"/>
        <v>75</v>
      </c>
      <c r="AU354" s="21">
        <f t="shared" si="59"/>
        <v>0</v>
      </c>
    </row>
    <row r="355" spans="1:47" ht="26.25" x14ac:dyDescent="0.25">
      <c r="A355" s="4" t="s">
        <v>271</v>
      </c>
      <c r="B355" s="4" t="s">
        <v>286</v>
      </c>
      <c r="C355" s="5" t="s">
        <v>86</v>
      </c>
      <c r="D355" s="151">
        <v>307584</v>
      </c>
      <c r="E355" s="153">
        <v>337176</v>
      </c>
      <c r="F355" s="151"/>
      <c r="G355" s="153"/>
      <c r="H355" s="151"/>
      <c r="I355" s="153"/>
      <c r="J355" s="151"/>
      <c r="K355" s="153"/>
      <c r="L355" s="151"/>
      <c r="M355" s="153"/>
      <c r="N355" s="151"/>
      <c r="O355" s="153"/>
      <c r="P355" s="151"/>
      <c r="Q355" s="153"/>
      <c r="R355" s="151"/>
      <c r="S355" s="153"/>
      <c r="T355" s="151"/>
      <c r="U355" s="153"/>
      <c r="V355" s="151"/>
      <c r="W355" s="153"/>
      <c r="X355" s="151"/>
      <c r="Y355" s="153"/>
      <c r="Z355" s="61">
        <f t="shared" si="62"/>
        <v>307584</v>
      </c>
      <c r="AA355" s="75">
        <f t="shared" si="62"/>
        <v>337176</v>
      </c>
      <c r="AB355" s="151"/>
      <c r="AC355" s="153"/>
      <c r="AD355" s="151"/>
      <c r="AE355" s="153"/>
      <c r="AF355" s="151"/>
      <c r="AG355" s="153"/>
      <c r="AH355" s="151"/>
      <c r="AI355" s="153"/>
      <c r="AJ355" s="151"/>
      <c r="AK355" s="153"/>
      <c r="AL355" s="151"/>
      <c r="AM355" s="153"/>
      <c r="AN355" s="151"/>
      <c r="AO355" s="153"/>
      <c r="AP355" s="61">
        <f t="shared" si="63"/>
        <v>307584</v>
      </c>
      <c r="AQ355" s="75">
        <f t="shared" si="63"/>
        <v>337176</v>
      </c>
      <c r="AR355" s="150" t="s">
        <v>128</v>
      </c>
      <c r="AS355" s="21">
        <f t="shared" si="57"/>
        <v>29592</v>
      </c>
      <c r="AT355" s="21">
        <f t="shared" si="58"/>
        <v>29592</v>
      </c>
      <c r="AU355" s="21">
        <f t="shared" si="59"/>
        <v>0</v>
      </c>
    </row>
    <row r="356" spans="1:47" ht="26.25" x14ac:dyDescent="0.25">
      <c r="A356" s="4" t="s">
        <v>271</v>
      </c>
      <c r="B356" s="4" t="s">
        <v>287</v>
      </c>
      <c r="C356" s="5" t="s">
        <v>93</v>
      </c>
      <c r="D356" s="151">
        <v>9168</v>
      </c>
      <c r="E356" s="153">
        <v>9088</v>
      </c>
      <c r="F356" s="151"/>
      <c r="G356" s="153"/>
      <c r="H356" s="151"/>
      <c r="I356" s="153"/>
      <c r="J356" s="151"/>
      <c r="K356" s="153"/>
      <c r="L356" s="151"/>
      <c r="M356" s="153"/>
      <c r="N356" s="151"/>
      <c r="O356" s="153"/>
      <c r="P356" s="151"/>
      <c r="Q356" s="153"/>
      <c r="R356" s="151"/>
      <c r="S356" s="153"/>
      <c r="T356" s="151"/>
      <c r="U356" s="153"/>
      <c r="V356" s="151"/>
      <c r="W356" s="153"/>
      <c r="X356" s="151"/>
      <c r="Y356" s="153"/>
      <c r="Z356" s="61">
        <f t="shared" si="62"/>
        <v>9168</v>
      </c>
      <c r="AA356" s="75">
        <f t="shared" si="62"/>
        <v>9088</v>
      </c>
      <c r="AB356" s="151"/>
      <c r="AC356" s="153"/>
      <c r="AD356" s="151"/>
      <c r="AE356" s="153"/>
      <c r="AF356" s="151"/>
      <c r="AG356" s="153"/>
      <c r="AH356" s="151"/>
      <c r="AI356" s="153"/>
      <c r="AJ356" s="151"/>
      <c r="AK356" s="153"/>
      <c r="AL356" s="151"/>
      <c r="AM356" s="153"/>
      <c r="AN356" s="151"/>
      <c r="AO356" s="153"/>
      <c r="AP356" s="61">
        <f t="shared" si="63"/>
        <v>9168</v>
      </c>
      <c r="AQ356" s="75">
        <f t="shared" si="63"/>
        <v>9088</v>
      </c>
      <c r="AR356" s="150" t="s">
        <v>128</v>
      </c>
      <c r="AS356" s="21">
        <f t="shared" si="57"/>
        <v>-80</v>
      </c>
      <c r="AT356" s="21">
        <f t="shared" si="58"/>
        <v>-80</v>
      </c>
      <c r="AU356" s="21">
        <f t="shared" si="59"/>
        <v>0</v>
      </c>
    </row>
    <row r="357" spans="1:47" ht="26.25" x14ac:dyDescent="0.25">
      <c r="A357" s="4" t="s">
        <v>271</v>
      </c>
      <c r="B357" s="4" t="s">
        <v>288</v>
      </c>
      <c r="C357" s="5" t="s">
        <v>86</v>
      </c>
      <c r="D357" s="151">
        <v>263210</v>
      </c>
      <c r="E357" s="153">
        <v>283075</v>
      </c>
      <c r="F357" s="151">
        <v>4000</v>
      </c>
      <c r="G357" s="153">
        <v>3000</v>
      </c>
      <c r="H357" s="151">
        <v>71000</v>
      </c>
      <c r="I357" s="153">
        <v>60000</v>
      </c>
      <c r="J357" s="151">
        <v>10000</v>
      </c>
      <c r="K357" s="153">
        <v>10000</v>
      </c>
      <c r="L357" s="151">
        <v>41500</v>
      </c>
      <c r="M357" s="153">
        <v>37500</v>
      </c>
      <c r="N357" s="151">
        <v>5900</v>
      </c>
      <c r="O357" s="153">
        <v>3900</v>
      </c>
      <c r="P357" s="151"/>
      <c r="Q357" s="153"/>
      <c r="R357" s="151">
        <v>400</v>
      </c>
      <c r="S357" s="153">
        <v>400</v>
      </c>
      <c r="T357" s="151"/>
      <c r="U357" s="153"/>
      <c r="V357" s="151"/>
      <c r="W357" s="153"/>
      <c r="X357" s="151"/>
      <c r="Y357" s="153"/>
      <c r="Z357" s="61">
        <f t="shared" si="62"/>
        <v>396010</v>
      </c>
      <c r="AA357" s="75">
        <f t="shared" si="62"/>
        <v>397875</v>
      </c>
      <c r="AB357" s="151">
        <v>600</v>
      </c>
      <c r="AC357" s="153">
        <v>600</v>
      </c>
      <c r="AD357" s="151">
        <v>40600</v>
      </c>
      <c r="AE357" s="153">
        <v>35000</v>
      </c>
      <c r="AF357" s="151">
        <v>49100</v>
      </c>
      <c r="AG357" s="153">
        <v>40000</v>
      </c>
      <c r="AH357" s="151"/>
      <c r="AI357" s="153"/>
      <c r="AJ357" s="151"/>
      <c r="AK357" s="153"/>
      <c r="AL357" s="151"/>
      <c r="AM357" s="153"/>
      <c r="AN357" s="151"/>
      <c r="AO357" s="153"/>
      <c r="AP357" s="61">
        <f t="shared" si="63"/>
        <v>486310</v>
      </c>
      <c r="AQ357" s="75">
        <f t="shared" si="63"/>
        <v>473475</v>
      </c>
      <c r="AR357" s="150" t="s">
        <v>128</v>
      </c>
      <c r="AS357" s="21">
        <f t="shared" si="57"/>
        <v>-12835</v>
      </c>
      <c r="AT357" s="21">
        <f t="shared" si="58"/>
        <v>19865</v>
      </c>
      <c r="AU357" s="21">
        <f t="shared" si="59"/>
        <v>-32700</v>
      </c>
    </row>
    <row r="358" spans="1:47" ht="26.25" x14ac:dyDescent="0.25">
      <c r="A358" s="4" t="s">
        <v>271</v>
      </c>
      <c r="B358" s="4" t="s">
        <v>289</v>
      </c>
      <c r="C358" s="5" t="s">
        <v>86</v>
      </c>
      <c r="D358" s="151">
        <v>12121</v>
      </c>
      <c r="E358" s="153">
        <v>13170</v>
      </c>
      <c r="F358" s="151"/>
      <c r="G358" s="153"/>
      <c r="H358" s="151"/>
      <c r="I358" s="153"/>
      <c r="J358" s="151"/>
      <c r="K358" s="153"/>
      <c r="L358" s="151"/>
      <c r="M358" s="153"/>
      <c r="N358" s="151"/>
      <c r="O358" s="153"/>
      <c r="P358" s="151"/>
      <c r="Q358" s="153"/>
      <c r="R358" s="151"/>
      <c r="S358" s="153"/>
      <c r="T358" s="151"/>
      <c r="U358" s="153"/>
      <c r="V358" s="151"/>
      <c r="W358" s="153"/>
      <c r="X358" s="151"/>
      <c r="Y358" s="153"/>
      <c r="Z358" s="61">
        <f t="shared" si="62"/>
        <v>12121</v>
      </c>
      <c r="AA358" s="75">
        <f t="shared" si="62"/>
        <v>13170</v>
      </c>
      <c r="AB358" s="151"/>
      <c r="AC358" s="153"/>
      <c r="AD358" s="151"/>
      <c r="AE358" s="153"/>
      <c r="AF358" s="151"/>
      <c r="AG358" s="153"/>
      <c r="AH358" s="151"/>
      <c r="AI358" s="153"/>
      <c r="AJ358" s="151"/>
      <c r="AK358" s="153"/>
      <c r="AL358" s="151"/>
      <c r="AM358" s="153"/>
      <c r="AN358" s="151"/>
      <c r="AO358" s="153"/>
      <c r="AP358" s="61">
        <f t="shared" si="63"/>
        <v>12121</v>
      </c>
      <c r="AQ358" s="75">
        <f t="shared" si="63"/>
        <v>13170</v>
      </c>
      <c r="AR358" s="150" t="s">
        <v>128</v>
      </c>
      <c r="AS358" s="21">
        <f t="shared" si="57"/>
        <v>1049</v>
      </c>
      <c r="AT358" s="21">
        <f t="shared" si="58"/>
        <v>1049</v>
      </c>
      <c r="AU358" s="21">
        <f t="shared" si="59"/>
        <v>0</v>
      </c>
    </row>
    <row r="359" spans="1:47" ht="26.25" x14ac:dyDescent="0.25">
      <c r="A359" s="4" t="s">
        <v>271</v>
      </c>
      <c r="B359" s="4" t="s">
        <v>290</v>
      </c>
      <c r="C359" s="5" t="s">
        <v>86</v>
      </c>
      <c r="D359" s="151">
        <f>864376+594</f>
        <v>864970</v>
      </c>
      <c r="E359" s="153">
        <f>875752+20632+138+8408</f>
        <v>904930</v>
      </c>
      <c r="F359" s="151"/>
      <c r="G359" s="153"/>
      <c r="H359" s="151"/>
      <c r="I359" s="153"/>
      <c r="J359" s="151"/>
      <c r="K359" s="153"/>
      <c r="L359" s="151"/>
      <c r="M359" s="153"/>
      <c r="N359" s="151"/>
      <c r="O359" s="153"/>
      <c r="P359" s="151"/>
      <c r="Q359" s="153"/>
      <c r="R359" s="151"/>
      <c r="S359" s="153"/>
      <c r="T359" s="151"/>
      <c r="U359" s="153"/>
      <c r="V359" s="151"/>
      <c r="W359" s="153"/>
      <c r="X359" s="151"/>
      <c r="Y359" s="153"/>
      <c r="Z359" s="61">
        <f t="shared" si="62"/>
        <v>864970</v>
      </c>
      <c r="AA359" s="75">
        <f t="shared" si="62"/>
        <v>904930</v>
      </c>
      <c r="AB359" s="151"/>
      <c r="AC359" s="153"/>
      <c r="AD359" s="151"/>
      <c r="AE359" s="153"/>
      <c r="AF359" s="151"/>
      <c r="AG359" s="153"/>
      <c r="AH359" s="151"/>
      <c r="AI359" s="153"/>
      <c r="AJ359" s="151"/>
      <c r="AK359" s="153"/>
      <c r="AL359" s="151"/>
      <c r="AM359" s="153"/>
      <c r="AN359" s="151"/>
      <c r="AO359" s="153"/>
      <c r="AP359" s="61">
        <f t="shared" si="63"/>
        <v>864970</v>
      </c>
      <c r="AQ359" s="75">
        <f t="shared" si="63"/>
        <v>904930</v>
      </c>
      <c r="AR359" s="150" t="s">
        <v>128</v>
      </c>
      <c r="AS359" s="21">
        <f t="shared" si="57"/>
        <v>39960</v>
      </c>
      <c r="AT359" s="21">
        <f t="shared" si="58"/>
        <v>39960</v>
      </c>
      <c r="AU359" s="21">
        <f t="shared" si="59"/>
        <v>0</v>
      </c>
    </row>
    <row r="360" spans="1:47" ht="26.25" x14ac:dyDescent="0.25">
      <c r="A360" s="4" t="s">
        <v>271</v>
      </c>
      <c r="B360" s="4" t="s">
        <v>291</v>
      </c>
      <c r="C360" s="5" t="s">
        <v>93</v>
      </c>
      <c r="D360" s="151">
        <v>11720</v>
      </c>
      <c r="E360" s="153">
        <f>8847</f>
        <v>8847</v>
      </c>
      <c r="F360" s="151"/>
      <c r="G360" s="153"/>
      <c r="H360" s="151"/>
      <c r="I360" s="153"/>
      <c r="J360" s="151"/>
      <c r="K360" s="153"/>
      <c r="L360" s="151"/>
      <c r="M360" s="153"/>
      <c r="N360" s="151"/>
      <c r="O360" s="153"/>
      <c r="P360" s="151"/>
      <c r="Q360" s="153"/>
      <c r="R360" s="151"/>
      <c r="S360" s="153"/>
      <c r="T360" s="151"/>
      <c r="U360" s="153"/>
      <c r="V360" s="151"/>
      <c r="W360" s="153"/>
      <c r="X360" s="151"/>
      <c r="Y360" s="153"/>
      <c r="Z360" s="61">
        <f t="shared" si="62"/>
        <v>11720</v>
      </c>
      <c r="AA360" s="75">
        <f t="shared" si="62"/>
        <v>8847</v>
      </c>
      <c r="AB360" s="151"/>
      <c r="AC360" s="153"/>
      <c r="AD360" s="151"/>
      <c r="AE360" s="153"/>
      <c r="AF360" s="151"/>
      <c r="AG360" s="153"/>
      <c r="AH360" s="151"/>
      <c r="AI360" s="153"/>
      <c r="AJ360" s="151"/>
      <c r="AK360" s="153"/>
      <c r="AL360" s="151"/>
      <c r="AM360" s="153"/>
      <c r="AN360" s="151"/>
      <c r="AO360" s="153"/>
      <c r="AP360" s="61">
        <f t="shared" si="63"/>
        <v>11720</v>
      </c>
      <c r="AQ360" s="75">
        <f t="shared" si="63"/>
        <v>8847</v>
      </c>
      <c r="AR360" s="150" t="s">
        <v>128</v>
      </c>
      <c r="AS360" s="21">
        <f t="shared" si="57"/>
        <v>-2873</v>
      </c>
      <c r="AT360" s="21">
        <f t="shared" si="58"/>
        <v>-2873</v>
      </c>
      <c r="AU360" s="21">
        <f t="shared" si="59"/>
        <v>0</v>
      </c>
    </row>
    <row r="361" spans="1:47" x14ac:dyDescent="0.25">
      <c r="A361" s="4" t="s">
        <v>271</v>
      </c>
      <c r="B361" s="4" t="s">
        <v>292</v>
      </c>
      <c r="C361" s="5" t="s">
        <v>93</v>
      </c>
      <c r="D361" s="151">
        <v>24123</v>
      </c>
      <c r="E361" s="153">
        <v>26666</v>
      </c>
      <c r="F361" s="151">
        <v>1513</v>
      </c>
      <c r="G361" s="153">
        <v>1400</v>
      </c>
      <c r="H361" s="151">
        <v>9000</v>
      </c>
      <c r="I361" s="153">
        <v>8000</v>
      </c>
      <c r="J361" s="151">
        <v>300</v>
      </c>
      <c r="K361" s="153">
        <v>250</v>
      </c>
      <c r="L361" s="151">
        <v>4000</v>
      </c>
      <c r="M361" s="153">
        <v>5200</v>
      </c>
      <c r="N361" s="151">
        <v>1000</v>
      </c>
      <c r="O361" s="153">
        <v>800</v>
      </c>
      <c r="P361" s="151"/>
      <c r="Q361" s="153"/>
      <c r="R361" s="151"/>
      <c r="S361" s="153"/>
      <c r="T361" s="151"/>
      <c r="U361" s="153"/>
      <c r="V361" s="151"/>
      <c r="W361" s="153"/>
      <c r="X361" s="151"/>
      <c r="Y361" s="153"/>
      <c r="Z361" s="61">
        <f t="shared" si="62"/>
        <v>39936</v>
      </c>
      <c r="AA361" s="75">
        <f t="shared" si="62"/>
        <v>42316</v>
      </c>
      <c r="AB361" s="151">
        <v>400</v>
      </c>
      <c r="AC361" s="153">
        <v>300</v>
      </c>
      <c r="AD361" s="151">
        <v>12983</v>
      </c>
      <c r="AE361" s="153">
        <v>11583</v>
      </c>
      <c r="AF361" s="151">
        <v>8000</v>
      </c>
      <c r="AG361" s="153">
        <v>7000</v>
      </c>
      <c r="AH361" s="151">
        <v>119</v>
      </c>
      <c r="AI361" s="153">
        <v>10</v>
      </c>
      <c r="AJ361" s="151"/>
      <c r="AK361" s="153"/>
      <c r="AL361" s="151"/>
      <c r="AM361" s="153"/>
      <c r="AN361" s="151"/>
      <c r="AO361" s="153"/>
      <c r="AP361" s="61">
        <f t="shared" si="63"/>
        <v>61438</v>
      </c>
      <c r="AQ361" s="75">
        <f t="shared" si="63"/>
        <v>61209</v>
      </c>
      <c r="AR361" s="150" t="s">
        <v>128</v>
      </c>
      <c r="AS361" s="21">
        <f t="shared" ref="AS361:AS392" si="64">$AQ361-$AP361</f>
        <v>-229</v>
      </c>
      <c r="AT361" s="21">
        <f t="shared" si="58"/>
        <v>2543</v>
      </c>
      <c r="AU361" s="21">
        <f t="shared" si="59"/>
        <v>-2772</v>
      </c>
    </row>
    <row r="362" spans="1:47" x14ac:dyDescent="0.25">
      <c r="A362" s="4" t="s">
        <v>271</v>
      </c>
      <c r="B362" s="4" t="s">
        <v>293</v>
      </c>
      <c r="C362" s="5" t="s">
        <v>93</v>
      </c>
      <c r="D362" s="151">
        <v>44792</v>
      </c>
      <c r="E362" s="153">
        <v>39163</v>
      </c>
      <c r="F362" s="151"/>
      <c r="G362" s="153"/>
      <c r="H362" s="151"/>
      <c r="I362" s="153"/>
      <c r="J362" s="151"/>
      <c r="K362" s="153"/>
      <c r="L362" s="151"/>
      <c r="M362" s="153"/>
      <c r="N362" s="151"/>
      <c r="O362" s="153"/>
      <c r="P362" s="151"/>
      <c r="Q362" s="153"/>
      <c r="R362" s="151"/>
      <c r="S362" s="153"/>
      <c r="T362" s="151"/>
      <c r="U362" s="153"/>
      <c r="V362" s="151"/>
      <c r="W362" s="153"/>
      <c r="X362" s="151"/>
      <c r="Y362" s="153"/>
      <c r="Z362" s="61">
        <f t="shared" si="62"/>
        <v>44792</v>
      </c>
      <c r="AA362" s="75">
        <f t="shared" si="62"/>
        <v>39163</v>
      </c>
      <c r="AB362" s="151"/>
      <c r="AC362" s="153"/>
      <c r="AD362" s="151"/>
      <c r="AE362" s="153"/>
      <c r="AF362" s="151"/>
      <c r="AG362" s="153"/>
      <c r="AH362" s="151"/>
      <c r="AI362" s="153"/>
      <c r="AJ362" s="151"/>
      <c r="AK362" s="153"/>
      <c r="AL362" s="151"/>
      <c r="AM362" s="153"/>
      <c r="AN362" s="151"/>
      <c r="AO362" s="153"/>
      <c r="AP362" s="61">
        <f t="shared" si="63"/>
        <v>44792</v>
      </c>
      <c r="AQ362" s="75">
        <f t="shared" si="63"/>
        <v>39163</v>
      </c>
      <c r="AR362" s="150" t="s">
        <v>128</v>
      </c>
      <c r="AS362" s="21">
        <f t="shared" si="64"/>
        <v>-5629</v>
      </c>
      <c r="AT362" s="21">
        <f t="shared" si="58"/>
        <v>-5629</v>
      </c>
      <c r="AU362" s="21">
        <f t="shared" si="59"/>
        <v>0</v>
      </c>
    </row>
    <row r="363" spans="1:47" x14ac:dyDescent="0.25">
      <c r="A363" s="4" t="s">
        <v>271</v>
      </c>
      <c r="B363" s="4" t="s">
        <v>295</v>
      </c>
      <c r="C363" s="5" t="s">
        <v>93</v>
      </c>
      <c r="D363" s="151"/>
      <c r="E363" s="153"/>
      <c r="F363" s="151">
        <v>465</v>
      </c>
      <c r="G363" s="153">
        <v>100</v>
      </c>
      <c r="H363" s="151"/>
      <c r="I363" s="153"/>
      <c r="J363" s="151"/>
      <c r="K363" s="153"/>
      <c r="L363" s="151"/>
      <c r="M363" s="153"/>
      <c r="N363" s="151">
        <v>822</v>
      </c>
      <c r="O363" s="153">
        <v>10</v>
      </c>
      <c r="P363" s="151"/>
      <c r="Q363" s="153"/>
      <c r="R363" s="151">
        <v>5000</v>
      </c>
      <c r="S363" s="153">
        <v>5000</v>
      </c>
      <c r="T363" s="151"/>
      <c r="U363" s="153"/>
      <c r="V363" s="151"/>
      <c r="W363" s="153"/>
      <c r="X363" s="151"/>
      <c r="Y363" s="153"/>
      <c r="Z363" s="61">
        <f t="shared" si="62"/>
        <v>6287</v>
      </c>
      <c r="AA363" s="75">
        <f t="shared" si="62"/>
        <v>5110</v>
      </c>
      <c r="AB363" s="151">
        <v>3000</v>
      </c>
      <c r="AC363" s="153">
        <v>2200</v>
      </c>
      <c r="AD363" s="151">
        <v>33925</v>
      </c>
      <c r="AE363" s="153">
        <v>21925</v>
      </c>
      <c r="AF363" s="151">
        <v>30156</v>
      </c>
      <c r="AG363" s="153">
        <v>30156</v>
      </c>
      <c r="AH363" s="151"/>
      <c r="AI363" s="153"/>
      <c r="AJ363" s="151"/>
      <c r="AK363" s="153"/>
      <c r="AL363" s="151"/>
      <c r="AM363" s="153"/>
      <c r="AN363" s="151"/>
      <c r="AO363" s="153"/>
      <c r="AP363" s="61">
        <f t="shared" si="63"/>
        <v>73368</v>
      </c>
      <c r="AQ363" s="75">
        <f t="shared" si="63"/>
        <v>59391</v>
      </c>
      <c r="AR363" s="150" t="s">
        <v>128</v>
      </c>
      <c r="AS363" s="21">
        <f t="shared" si="64"/>
        <v>-13977</v>
      </c>
      <c r="AT363" s="21">
        <f t="shared" si="58"/>
        <v>0</v>
      </c>
      <c r="AU363" s="21">
        <f t="shared" si="59"/>
        <v>-13977</v>
      </c>
    </row>
    <row r="364" spans="1:47" ht="26.25" x14ac:dyDescent="0.25">
      <c r="A364" s="4" t="s">
        <v>271</v>
      </c>
      <c r="B364" s="4" t="s">
        <v>296</v>
      </c>
      <c r="C364" s="5" t="s">
        <v>93</v>
      </c>
      <c r="D364" s="151">
        <v>63872</v>
      </c>
      <c r="E364" s="153">
        <v>78652</v>
      </c>
      <c r="F364" s="151"/>
      <c r="G364" s="153"/>
      <c r="H364" s="151"/>
      <c r="I364" s="153"/>
      <c r="J364" s="151"/>
      <c r="K364" s="153"/>
      <c r="L364" s="151"/>
      <c r="M364" s="153"/>
      <c r="N364" s="151"/>
      <c r="O364" s="153"/>
      <c r="P364" s="151"/>
      <c r="Q364" s="153"/>
      <c r="R364" s="151"/>
      <c r="S364" s="153"/>
      <c r="T364" s="151"/>
      <c r="U364" s="153"/>
      <c r="V364" s="151"/>
      <c r="W364" s="153"/>
      <c r="X364" s="151"/>
      <c r="Y364" s="153"/>
      <c r="Z364" s="61">
        <f t="shared" si="62"/>
        <v>63872</v>
      </c>
      <c r="AA364" s="75">
        <f t="shared" si="62"/>
        <v>78652</v>
      </c>
      <c r="AB364" s="151"/>
      <c r="AC364" s="153"/>
      <c r="AD364" s="151"/>
      <c r="AE364" s="153"/>
      <c r="AF364" s="151"/>
      <c r="AG364" s="153"/>
      <c r="AH364" s="151"/>
      <c r="AI364" s="153"/>
      <c r="AJ364" s="151"/>
      <c r="AK364" s="153"/>
      <c r="AL364" s="151"/>
      <c r="AM364" s="153"/>
      <c r="AN364" s="151"/>
      <c r="AO364" s="153"/>
      <c r="AP364" s="61">
        <f t="shared" si="63"/>
        <v>63872</v>
      </c>
      <c r="AQ364" s="75">
        <f t="shared" si="63"/>
        <v>78652</v>
      </c>
      <c r="AR364" s="150" t="s">
        <v>128</v>
      </c>
      <c r="AS364" s="21">
        <f t="shared" si="64"/>
        <v>14780</v>
      </c>
      <c r="AT364" s="21">
        <f t="shared" si="58"/>
        <v>14780</v>
      </c>
      <c r="AU364" s="21">
        <f t="shared" si="59"/>
        <v>0</v>
      </c>
    </row>
    <row r="365" spans="1:47" x14ac:dyDescent="0.25">
      <c r="A365" s="4" t="s">
        <v>271</v>
      </c>
      <c r="B365" s="4" t="s">
        <v>298</v>
      </c>
      <c r="C365" s="5" t="s">
        <v>93</v>
      </c>
      <c r="D365" s="151">
        <v>114883</v>
      </c>
      <c r="E365" s="153">
        <v>118231</v>
      </c>
      <c r="F365" s="151">
        <v>800</v>
      </c>
      <c r="G365" s="153">
        <v>1280</v>
      </c>
      <c r="H365" s="151">
        <v>27300</v>
      </c>
      <c r="I365" s="153">
        <v>27000</v>
      </c>
      <c r="J365" s="151">
        <v>5681</v>
      </c>
      <c r="K365" s="153">
        <v>4700</v>
      </c>
      <c r="L365" s="151">
        <v>29063</v>
      </c>
      <c r="M365" s="153">
        <v>29063</v>
      </c>
      <c r="N365" s="151">
        <v>2000</v>
      </c>
      <c r="O365" s="153">
        <v>2400</v>
      </c>
      <c r="P365" s="151"/>
      <c r="Q365" s="153"/>
      <c r="R365" s="151"/>
      <c r="S365" s="153"/>
      <c r="T365" s="151"/>
      <c r="U365" s="153"/>
      <c r="V365" s="151"/>
      <c r="W365" s="153"/>
      <c r="X365" s="151"/>
      <c r="Y365" s="153"/>
      <c r="Z365" s="61">
        <f t="shared" si="62"/>
        <v>179727</v>
      </c>
      <c r="AA365" s="75">
        <f t="shared" si="62"/>
        <v>182674</v>
      </c>
      <c r="AB365" s="151"/>
      <c r="AC365" s="153"/>
      <c r="AD365" s="151">
        <v>18792</v>
      </c>
      <c r="AE365" s="153">
        <v>17700</v>
      </c>
      <c r="AF365" s="151">
        <v>8000</v>
      </c>
      <c r="AG365" s="153">
        <v>7100</v>
      </c>
      <c r="AH365" s="151">
        <v>150</v>
      </c>
      <c r="AI365" s="153">
        <v>10</v>
      </c>
      <c r="AJ365" s="151"/>
      <c r="AK365" s="153"/>
      <c r="AL365" s="151"/>
      <c r="AM365" s="153"/>
      <c r="AN365" s="151"/>
      <c r="AO365" s="153"/>
      <c r="AP365" s="61">
        <f t="shared" si="63"/>
        <v>206669</v>
      </c>
      <c r="AQ365" s="75">
        <f t="shared" si="63"/>
        <v>207484</v>
      </c>
      <c r="AR365" s="150" t="s">
        <v>128</v>
      </c>
      <c r="AS365" s="21">
        <f t="shared" si="64"/>
        <v>815</v>
      </c>
      <c r="AT365" s="21">
        <f t="shared" si="58"/>
        <v>3348</v>
      </c>
      <c r="AU365" s="21">
        <f t="shared" si="59"/>
        <v>-2533</v>
      </c>
    </row>
    <row r="366" spans="1:47" ht="26.25" x14ac:dyDescent="0.25">
      <c r="A366" s="4" t="s">
        <v>271</v>
      </c>
      <c r="B366" s="4" t="s">
        <v>299</v>
      </c>
      <c r="C366" s="5" t="s">
        <v>93</v>
      </c>
      <c r="D366" s="151">
        <v>60769</v>
      </c>
      <c r="E366" s="153">
        <v>61503</v>
      </c>
      <c r="F366" s="151">
        <v>1200</v>
      </c>
      <c r="G366" s="153">
        <v>1200</v>
      </c>
      <c r="H366" s="151">
        <v>12000</v>
      </c>
      <c r="I366" s="153">
        <v>12000</v>
      </c>
      <c r="J366" s="151">
        <v>700</v>
      </c>
      <c r="K366" s="153">
        <v>700</v>
      </c>
      <c r="L366" s="151">
        <v>3000</v>
      </c>
      <c r="M366" s="153">
        <v>3000</v>
      </c>
      <c r="N366" s="151">
        <v>530</v>
      </c>
      <c r="O366" s="153">
        <v>530</v>
      </c>
      <c r="P366" s="151"/>
      <c r="Q366" s="153"/>
      <c r="R366" s="151">
        <v>590</v>
      </c>
      <c r="S366" s="153">
        <v>500</v>
      </c>
      <c r="T366" s="151"/>
      <c r="U366" s="153"/>
      <c r="V366" s="151"/>
      <c r="W366" s="153"/>
      <c r="X366" s="151"/>
      <c r="Y366" s="153"/>
      <c r="Z366" s="61">
        <f t="shared" si="62"/>
        <v>78789</v>
      </c>
      <c r="AA366" s="75">
        <f t="shared" si="62"/>
        <v>79433</v>
      </c>
      <c r="AB366" s="151">
        <v>940</v>
      </c>
      <c r="AC366" s="153">
        <v>500</v>
      </c>
      <c r="AD366" s="151">
        <v>4020</v>
      </c>
      <c r="AE366" s="153">
        <v>3000</v>
      </c>
      <c r="AF366" s="151">
        <v>5308</v>
      </c>
      <c r="AG366" s="153">
        <v>4000</v>
      </c>
      <c r="AH366" s="151"/>
      <c r="AI366" s="153">
        <v>50</v>
      </c>
      <c r="AJ366" s="151"/>
      <c r="AK366" s="153"/>
      <c r="AL366" s="151"/>
      <c r="AM366" s="153"/>
      <c r="AN366" s="151"/>
      <c r="AO366" s="153"/>
      <c r="AP366" s="61">
        <f t="shared" si="63"/>
        <v>89057</v>
      </c>
      <c r="AQ366" s="75">
        <f t="shared" si="63"/>
        <v>86983</v>
      </c>
      <c r="AR366" s="150" t="s">
        <v>128</v>
      </c>
      <c r="AS366" s="21">
        <f t="shared" si="64"/>
        <v>-2074</v>
      </c>
      <c r="AT366" s="21">
        <f t="shared" si="58"/>
        <v>734</v>
      </c>
      <c r="AU366" s="21">
        <f t="shared" si="59"/>
        <v>-2808</v>
      </c>
    </row>
    <row r="367" spans="1:47" ht="26.25" x14ac:dyDescent="0.25">
      <c r="A367" s="4" t="s">
        <v>271</v>
      </c>
      <c r="B367" s="4" t="s">
        <v>300</v>
      </c>
      <c r="C367" s="5" t="s">
        <v>93</v>
      </c>
      <c r="D367" s="151">
        <v>53190</v>
      </c>
      <c r="E367" s="153">
        <v>59877</v>
      </c>
      <c r="F367" s="151"/>
      <c r="G367" s="153"/>
      <c r="H367" s="151"/>
      <c r="I367" s="153"/>
      <c r="J367" s="151"/>
      <c r="K367" s="153"/>
      <c r="L367" s="151"/>
      <c r="M367" s="153"/>
      <c r="N367" s="151"/>
      <c r="O367" s="153"/>
      <c r="P367" s="151"/>
      <c r="Q367" s="153"/>
      <c r="R367" s="151"/>
      <c r="S367" s="153"/>
      <c r="T367" s="151"/>
      <c r="U367" s="153"/>
      <c r="V367" s="151"/>
      <c r="W367" s="153"/>
      <c r="X367" s="151"/>
      <c r="Y367" s="153"/>
      <c r="Z367" s="61">
        <f t="shared" si="62"/>
        <v>53190</v>
      </c>
      <c r="AA367" s="75">
        <f t="shared" si="62"/>
        <v>59877</v>
      </c>
      <c r="AB367" s="151"/>
      <c r="AC367" s="153"/>
      <c r="AD367" s="151"/>
      <c r="AE367" s="153"/>
      <c r="AF367" s="151"/>
      <c r="AG367" s="153"/>
      <c r="AH367" s="151"/>
      <c r="AI367" s="153"/>
      <c r="AJ367" s="151"/>
      <c r="AK367" s="153"/>
      <c r="AL367" s="151"/>
      <c r="AM367" s="153"/>
      <c r="AN367" s="151"/>
      <c r="AO367" s="153"/>
      <c r="AP367" s="61">
        <f t="shared" si="63"/>
        <v>53190</v>
      </c>
      <c r="AQ367" s="75">
        <f t="shared" si="63"/>
        <v>59877</v>
      </c>
      <c r="AR367" s="150" t="s">
        <v>128</v>
      </c>
      <c r="AS367" s="21">
        <f t="shared" si="64"/>
        <v>6687</v>
      </c>
      <c r="AT367" s="21">
        <f t="shared" si="58"/>
        <v>6687</v>
      </c>
      <c r="AU367" s="21">
        <f t="shared" si="59"/>
        <v>0</v>
      </c>
    </row>
    <row r="368" spans="1:47" x14ac:dyDescent="0.25">
      <c r="A368" s="4" t="s">
        <v>271</v>
      </c>
      <c r="B368" s="4" t="s">
        <v>302</v>
      </c>
      <c r="C368" s="5" t="s">
        <v>93</v>
      </c>
      <c r="D368" s="151">
        <v>9024</v>
      </c>
      <c r="E368" s="153">
        <v>11850</v>
      </c>
      <c r="F368" s="151">
        <v>700</v>
      </c>
      <c r="G368" s="153">
        <v>600</v>
      </c>
      <c r="H368" s="151">
        <v>3650</v>
      </c>
      <c r="I368" s="153">
        <v>3500</v>
      </c>
      <c r="J368" s="151">
        <v>600</v>
      </c>
      <c r="K368" s="153">
        <v>400</v>
      </c>
      <c r="L368" s="151">
        <v>1800</v>
      </c>
      <c r="M368" s="153">
        <v>1650</v>
      </c>
      <c r="N368" s="151">
        <v>400</v>
      </c>
      <c r="O368" s="153">
        <v>400</v>
      </c>
      <c r="P368" s="151"/>
      <c r="Q368" s="153"/>
      <c r="R368" s="151">
        <v>150</v>
      </c>
      <c r="S368" s="153">
        <v>100</v>
      </c>
      <c r="T368" s="151"/>
      <c r="U368" s="153"/>
      <c r="V368" s="151"/>
      <c r="W368" s="153"/>
      <c r="X368" s="151"/>
      <c r="Y368" s="153"/>
      <c r="Z368" s="61">
        <f t="shared" si="62"/>
        <v>16324</v>
      </c>
      <c r="AA368" s="75">
        <f t="shared" si="62"/>
        <v>18500</v>
      </c>
      <c r="AB368" s="151">
        <v>160</v>
      </c>
      <c r="AC368" s="153">
        <v>100</v>
      </c>
      <c r="AD368" s="151">
        <v>1200</v>
      </c>
      <c r="AE368" s="153">
        <v>1000</v>
      </c>
      <c r="AF368" s="151">
        <v>4000</v>
      </c>
      <c r="AG368" s="153">
        <v>3500</v>
      </c>
      <c r="AH368" s="151">
        <v>300</v>
      </c>
      <c r="AI368" s="153">
        <v>100</v>
      </c>
      <c r="AJ368" s="151"/>
      <c r="AK368" s="153"/>
      <c r="AL368" s="151"/>
      <c r="AM368" s="153"/>
      <c r="AN368" s="151"/>
      <c r="AO368" s="153"/>
      <c r="AP368" s="61">
        <f t="shared" si="63"/>
        <v>21984</v>
      </c>
      <c r="AQ368" s="75">
        <f t="shared" si="63"/>
        <v>23200</v>
      </c>
      <c r="AR368" s="150" t="s">
        <v>128</v>
      </c>
      <c r="AS368" s="21">
        <f t="shared" si="64"/>
        <v>1216</v>
      </c>
      <c r="AT368" s="21">
        <f t="shared" si="58"/>
        <v>2826</v>
      </c>
      <c r="AU368" s="21">
        <f t="shared" si="59"/>
        <v>-1610</v>
      </c>
    </row>
    <row r="369" spans="1:47" ht="26.25" x14ac:dyDescent="0.25">
      <c r="A369" s="4" t="s">
        <v>271</v>
      </c>
      <c r="B369" s="4" t="s">
        <v>303</v>
      </c>
      <c r="C369" s="5" t="s">
        <v>93</v>
      </c>
      <c r="D369" s="151">
        <v>25225</v>
      </c>
      <c r="E369" s="153">
        <v>27694</v>
      </c>
      <c r="F369" s="151"/>
      <c r="G369" s="153"/>
      <c r="H369" s="151"/>
      <c r="I369" s="153"/>
      <c r="J369" s="151"/>
      <c r="K369" s="153"/>
      <c r="L369" s="151"/>
      <c r="M369" s="153"/>
      <c r="N369" s="151"/>
      <c r="O369" s="153"/>
      <c r="P369" s="151"/>
      <c r="Q369" s="153"/>
      <c r="R369" s="151"/>
      <c r="S369" s="153"/>
      <c r="T369" s="151"/>
      <c r="U369" s="153"/>
      <c r="V369" s="151"/>
      <c r="W369" s="153"/>
      <c r="X369" s="151"/>
      <c r="Y369" s="153"/>
      <c r="Z369" s="61">
        <f t="shared" si="62"/>
        <v>25225</v>
      </c>
      <c r="AA369" s="75">
        <f t="shared" si="62"/>
        <v>27694</v>
      </c>
      <c r="AB369" s="151"/>
      <c r="AC369" s="153"/>
      <c r="AD369" s="151"/>
      <c r="AE369" s="153"/>
      <c r="AF369" s="151"/>
      <c r="AG369" s="153"/>
      <c r="AH369" s="151"/>
      <c r="AI369" s="153"/>
      <c r="AJ369" s="151"/>
      <c r="AK369" s="153"/>
      <c r="AL369" s="151"/>
      <c r="AM369" s="153"/>
      <c r="AN369" s="151"/>
      <c r="AO369" s="153"/>
      <c r="AP369" s="61">
        <f t="shared" si="63"/>
        <v>25225</v>
      </c>
      <c r="AQ369" s="75">
        <f t="shared" si="63"/>
        <v>27694</v>
      </c>
      <c r="AR369" s="150" t="s">
        <v>128</v>
      </c>
      <c r="AS369" s="21">
        <f t="shared" si="64"/>
        <v>2469</v>
      </c>
      <c r="AT369" s="21">
        <f t="shared" si="58"/>
        <v>2469</v>
      </c>
      <c r="AU369" s="21">
        <f t="shared" si="59"/>
        <v>0</v>
      </c>
    </row>
    <row r="370" spans="1:47" x14ac:dyDescent="0.25">
      <c r="A370" s="4" t="s">
        <v>271</v>
      </c>
      <c r="B370" s="4" t="s">
        <v>77</v>
      </c>
      <c r="C370" s="5" t="s">
        <v>73</v>
      </c>
      <c r="D370" s="151">
        <v>140197</v>
      </c>
      <c r="E370" s="153">
        <v>154225</v>
      </c>
      <c r="F370" s="151">
        <v>1400</v>
      </c>
      <c r="G370" s="153">
        <v>1200</v>
      </c>
      <c r="H370" s="151">
        <v>16700</v>
      </c>
      <c r="I370" s="153">
        <v>16000</v>
      </c>
      <c r="J370" s="151">
        <v>1924</v>
      </c>
      <c r="K370" s="153">
        <v>1000</v>
      </c>
      <c r="L370" s="151">
        <v>20550</v>
      </c>
      <c r="M370" s="153">
        <v>19000</v>
      </c>
      <c r="N370" s="151">
        <v>1000</v>
      </c>
      <c r="O370" s="153">
        <v>1000</v>
      </c>
      <c r="P370" s="151"/>
      <c r="Q370" s="153"/>
      <c r="R370" s="151"/>
      <c r="S370" s="153"/>
      <c r="T370" s="151"/>
      <c r="U370" s="153"/>
      <c r="V370" s="151"/>
      <c r="W370" s="153"/>
      <c r="X370" s="151"/>
      <c r="Y370" s="153"/>
      <c r="Z370" s="61">
        <f t="shared" ref="Z370:AA395" si="65">D370+F370+H370+J370+L370+P370+R370+T370+V370+X370+N370</f>
        <v>181771</v>
      </c>
      <c r="AA370" s="75">
        <f t="shared" si="65"/>
        <v>192425</v>
      </c>
      <c r="AB370" s="151">
        <v>30</v>
      </c>
      <c r="AC370" s="153">
        <v>5</v>
      </c>
      <c r="AD370" s="151">
        <v>10200</v>
      </c>
      <c r="AE370" s="153">
        <v>9000</v>
      </c>
      <c r="AF370" s="151">
        <v>7000</v>
      </c>
      <c r="AG370" s="153">
        <v>6000</v>
      </c>
      <c r="AH370" s="151">
        <v>200</v>
      </c>
      <c r="AI370" s="153">
        <v>50</v>
      </c>
      <c r="AJ370" s="151"/>
      <c r="AK370" s="153"/>
      <c r="AL370" s="151"/>
      <c r="AM370" s="153"/>
      <c r="AN370" s="151"/>
      <c r="AO370" s="153"/>
      <c r="AP370" s="61">
        <f t="shared" ref="AP370:AQ395" si="66">Z370+AB370+AD370+AF370+AH370+AJ370+AL370+AN370</f>
        <v>199201</v>
      </c>
      <c r="AQ370" s="75">
        <f t="shared" si="66"/>
        <v>207480</v>
      </c>
      <c r="AR370" s="150"/>
      <c r="AS370" s="21">
        <f t="shared" si="64"/>
        <v>8279</v>
      </c>
      <c r="AT370" s="21">
        <f t="shared" si="58"/>
        <v>14028</v>
      </c>
      <c r="AU370" s="21">
        <f t="shared" si="59"/>
        <v>-5749</v>
      </c>
    </row>
    <row r="371" spans="1:47" ht="26.25" x14ac:dyDescent="0.25">
      <c r="A371" s="4" t="s">
        <v>271</v>
      </c>
      <c r="B371" s="4" t="s">
        <v>305</v>
      </c>
      <c r="C371" s="5" t="s">
        <v>73</v>
      </c>
      <c r="D371" s="151">
        <v>60308</v>
      </c>
      <c r="E371" s="153">
        <v>61266</v>
      </c>
      <c r="F371" s="151"/>
      <c r="G371" s="153"/>
      <c r="H371" s="151"/>
      <c r="I371" s="153"/>
      <c r="J371" s="151"/>
      <c r="K371" s="153"/>
      <c r="L371" s="151"/>
      <c r="M371" s="153"/>
      <c r="N371" s="151"/>
      <c r="O371" s="153"/>
      <c r="P371" s="151"/>
      <c r="Q371" s="153"/>
      <c r="R371" s="151"/>
      <c r="S371" s="153"/>
      <c r="T371" s="151"/>
      <c r="U371" s="153"/>
      <c r="V371" s="151"/>
      <c r="W371" s="153"/>
      <c r="X371" s="151"/>
      <c r="Y371" s="153"/>
      <c r="Z371" s="61">
        <f t="shared" si="65"/>
        <v>60308</v>
      </c>
      <c r="AA371" s="75">
        <f t="shared" si="65"/>
        <v>61266</v>
      </c>
      <c r="AB371" s="151"/>
      <c r="AC371" s="153"/>
      <c r="AD371" s="151"/>
      <c r="AE371" s="153"/>
      <c r="AF371" s="151"/>
      <c r="AG371" s="153"/>
      <c r="AH371" s="151"/>
      <c r="AI371" s="153"/>
      <c r="AJ371" s="151"/>
      <c r="AK371" s="153"/>
      <c r="AL371" s="151"/>
      <c r="AM371" s="153"/>
      <c r="AN371" s="151"/>
      <c r="AO371" s="153"/>
      <c r="AP371" s="61">
        <f t="shared" si="66"/>
        <v>60308</v>
      </c>
      <c r="AQ371" s="75">
        <f t="shared" si="66"/>
        <v>61266</v>
      </c>
      <c r="AR371" s="150" t="s">
        <v>74</v>
      </c>
      <c r="AS371" s="21">
        <f t="shared" si="64"/>
        <v>958</v>
      </c>
      <c r="AT371" s="21">
        <f t="shared" si="58"/>
        <v>958</v>
      </c>
      <c r="AU371" s="21">
        <f t="shared" si="59"/>
        <v>0</v>
      </c>
    </row>
    <row r="372" spans="1:47" x14ac:dyDescent="0.25">
      <c r="A372" s="4" t="s">
        <v>271</v>
      </c>
      <c r="B372" s="4" t="s">
        <v>307</v>
      </c>
      <c r="C372" s="6" t="s">
        <v>73</v>
      </c>
      <c r="D372" s="151">
        <v>11525</v>
      </c>
      <c r="E372" s="153">
        <v>11954</v>
      </c>
      <c r="F372" s="151">
        <v>1000</v>
      </c>
      <c r="G372" s="153">
        <v>1600</v>
      </c>
      <c r="H372" s="151">
        <v>6600</v>
      </c>
      <c r="I372" s="153">
        <v>5500</v>
      </c>
      <c r="J372" s="151">
        <v>276</v>
      </c>
      <c r="K372" s="153">
        <v>200</v>
      </c>
      <c r="L372" s="151">
        <v>2300</v>
      </c>
      <c r="M372" s="153">
        <v>2450</v>
      </c>
      <c r="N372" s="151">
        <v>200</v>
      </c>
      <c r="O372" s="153">
        <v>200</v>
      </c>
      <c r="P372" s="151"/>
      <c r="Q372" s="153"/>
      <c r="R372" s="151"/>
      <c r="S372" s="153"/>
      <c r="T372" s="151"/>
      <c r="U372" s="153"/>
      <c r="V372" s="151"/>
      <c r="W372" s="153"/>
      <c r="X372" s="151"/>
      <c r="Y372" s="153"/>
      <c r="Z372" s="61">
        <f t="shared" si="65"/>
        <v>21901</v>
      </c>
      <c r="AA372" s="75">
        <f t="shared" si="65"/>
        <v>21904</v>
      </c>
      <c r="AB372" s="151"/>
      <c r="AC372" s="153"/>
      <c r="AD372" s="151">
        <v>16000</v>
      </c>
      <c r="AE372" s="153">
        <v>15000</v>
      </c>
      <c r="AF372" s="151">
        <v>1500</v>
      </c>
      <c r="AG372" s="153">
        <v>1000</v>
      </c>
      <c r="AH372" s="151"/>
      <c r="AI372" s="153"/>
      <c r="AJ372" s="151"/>
      <c r="AK372" s="153"/>
      <c r="AL372" s="151"/>
      <c r="AM372" s="153"/>
      <c r="AN372" s="151"/>
      <c r="AO372" s="153"/>
      <c r="AP372" s="61">
        <f t="shared" si="66"/>
        <v>39401</v>
      </c>
      <c r="AQ372" s="75">
        <f t="shared" si="66"/>
        <v>37904</v>
      </c>
      <c r="AR372" s="150" t="s">
        <v>74</v>
      </c>
      <c r="AS372" s="21">
        <f t="shared" si="64"/>
        <v>-1497</v>
      </c>
      <c r="AT372" s="21">
        <f t="shared" si="58"/>
        <v>429</v>
      </c>
      <c r="AU372" s="21">
        <f t="shared" si="59"/>
        <v>-1926</v>
      </c>
    </row>
    <row r="373" spans="1:47" x14ac:dyDescent="0.25">
      <c r="A373" s="4" t="s">
        <v>271</v>
      </c>
      <c r="B373" s="4" t="s">
        <v>126</v>
      </c>
      <c r="C373" s="5" t="s">
        <v>73</v>
      </c>
      <c r="D373" s="151">
        <v>120541</v>
      </c>
      <c r="E373" s="153">
        <v>129176</v>
      </c>
      <c r="F373" s="151">
        <v>1400</v>
      </c>
      <c r="G373" s="153">
        <v>1400</v>
      </c>
      <c r="H373" s="151">
        <v>6200</v>
      </c>
      <c r="I373" s="153">
        <v>6000</v>
      </c>
      <c r="J373" s="151">
        <v>600</v>
      </c>
      <c r="K373" s="153">
        <v>600</v>
      </c>
      <c r="L373" s="151">
        <v>6670</v>
      </c>
      <c r="M373" s="153">
        <v>6000</v>
      </c>
      <c r="N373" s="151">
        <v>170</v>
      </c>
      <c r="O373" s="153">
        <v>50</v>
      </c>
      <c r="P373" s="151"/>
      <c r="Q373" s="153"/>
      <c r="R373" s="151"/>
      <c r="S373" s="153"/>
      <c r="T373" s="151"/>
      <c r="U373" s="153"/>
      <c r="V373" s="151"/>
      <c r="W373" s="153"/>
      <c r="X373" s="151"/>
      <c r="Y373" s="153"/>
      <c r="Z373" s="61">
        <f t="shared" si="65"/>
        <v>135581</v>
      </c>
      <c r="AA373" s="75">
        <f t="shared" si="65"/>
        <v>143226</v>
      </c>
      <c r="AB373" s="151">
        <v>420</v>
      </c>
      <c r="AC373" s="153">
        <v>200</v>
      </c>
      <c r="AD373" s="151">
        <v>8087</v>
      </c>
      <c r="AE373" s="153">
        <f>7600+1760</f>
        <v>9360</v>
      </c>
      <c r="AF373" s="151">
        <v>3818</v>
      </c>
      <c r="AG373" s="153">
        <v>3400</v>
      </c>
      <c r="AH373" s="151">
        <v>14952</v>
      </c>
      <c r="AI373" s="153">
        <v>14784</v>
      </c>
      <c r="AJ373" s="151"/>
      <c r="AK373" s="153"/>
      <c r="AL373" s="151"/>
      <c r="AM373" s="153"/>
      <c r="AN373" s="151"/>
      <c r="AO373" s="153"/>
      <c r="AP373" s="61">
        <f t="shared" si="66"/>
        <v>162858</v>
      </c>
      <c r="AQ373" s="75">
        <f t="shared" si="66"/>
        <v>170970</v>
      </c>
      <c r="AR373" s="150" t="s">
        <v>74</v>
      </c>
      <c r="AS373" s="21">
        <f t="shared" si="64"/>
        <v>8112</v>
      </c>
      <c r="AT373" s="21">
        <f t="shared" si="58"/>
        <v>8635</v>
      </c>
      <c r="AU373" s="21">
        <f t="shared" si="59"/>
        <v>-523</v>
      </c>
    </row>
    <row r="374" spans="1:47" x14ac:dyDescent="0.25">
      <c r="A374" s="4" t="s">
        <v>271</v>
      </c>
      <c r="B374" s="4" t="s">
        <v>308</v>
      </c>
      <c r="C374" s="5" t="s">
        <v>73</v>
      </c>
      <c r="D374" s="151">
        <v>175399</v>
      </c>
      <c r="E374" s="153">
        <v>200527</v>
      </c>
      <c r="F374" s="151">
        <v>1300</v>
      </c>
      <c r="G374" s="153">
        <v>1100</v>
      </c>
      <c r="H374" s="151">
        <v>12500</v>
      </c>
      <c r="I374" s="153">
        <v>14000</v>
      </c>
      <c r="J374" s="151">
        <v>500</v>
      </c>
      <c r="K374" s="153">
        <v>400</v>
      </c>
      <c r="L374" s="151">
        <v>5000</v>
      </c>
      <c r="M374" s="153">
        <v>4900</v>
      </c>
      <c r="N374" s="151">
        <v>600</v>
      </c>
      <c r="O374" s="153">
        <v>600</v>
      </c>
      <c r="P374" s="151"/>
      <c r="Q374" s="153"/>
      <c r="R374" s="151"/>
      <c r="S374" s="153"/>
      <c r="T374" s="151"/>
      <c r="U374" s="153"/>
      <c r="V374" s="151"/>
      <c r="W374" s="153"/>
      <c r="X374" s="151"/>
      <c r="Y374" s="153"/>
      <c r="Z374" s="61">
        <f t="shared" si="65"/>
        <v>195299</v>
      </c>
      <c r="AA374" s="75">
        <f t="shared" si="65"/>
        <v>221527</v>
      </c>
      <c r="AB374" s="151">
        <v>650</v>
      </c>
      <c r="AC374" s="153">
        <v>600</v>
      </c>
      <c r="AD374" s="151">
        <v>10000</v>
      </c>
      <c r="AE374" s="153">
        <v>8000</v>
      </c>
      <c r="AF374" s="151">
        <v>8000</v>
      </c>
      <c r="AG374" s="153">
        <f>2000+4900</f>
        <v>6900</v>
      </c>
      <c r="AH374" s="151">
        <v>300</v>
      </c>
      <c r="AI374" s="153">
        <v>100</v>
      </c>
      <c r="AJ374" s="151"/>
      <c r="AK374" s="153"/>
      <c r="AL374" s="151"/>
      <c r="AM374" s="153"/>
      <c r="AN374" s="151"/>
      <c r="AO374" s="153"/>
      <c r="AP374" s="61">
        <f t="shared" si="66"/>
        <v>214249</v>
      </c>
      <c r="AQ374" s="75">
        <f t="shared" si="66"/>
        <v>237127</v>
      </c>
      <c r="AR374" s="150" t="s">
        <v>74</v>
      </c>
      <c r="AS374" s="21">
        <f t="shared" si="64"/>
        <v>22878</v>
      </c>
      <c r="AT374" s="21">
        <f t="shared" si="58"/>
        <v>25128</v>
      </c>
      <c r="AU374" s="21">
        <f t="shared" si="59"/>
        <v>-2250</v>
      </c>
    </row>
    <row r="375" spans="1:47" ht="39" x14ac:dyDescent="0.25">
      <c r="A375" s="4" t="s">
        <v>271</v>
      </c>
      <c r="B375" s="4" t="s">
        <v>309</v>
      </c>
      <c r="C375" s="5" t="s">
        <v>73</v>
      </c>
      <c r="D375" s="151"/>
      <c r="E375" s="153">
        <f>2350+118</f>
        <v>2468</v>
      </c>
      <c r="F375" s="151"/>
      <c r="G375" s="153"/>
      <c r="H375" s="151"/>
      <c r="I375" s="153"/>
      <c r="J375" s="151"/>
      <c r="K375" s="153"/>
      <c r="L375" s="151"/>
      <c r="M375" s="153"/>
      <c r="N375" s="151"/>
      <c r="O375" s="153"/>
      <c r="P375" s="151"/>
      <c r="Q375" s="153"/>
      <c r="R375" s="151"/>
      <c r="S375" s="153"/>
      <c r="T375" s="151"/>
      <c r="U375" s="153"/>
      <c r="V375" s="151"/>
      <c r="W375" s="153"/>
      <c r="X375" s="151"/>
      <c r="Y375" s="153"/>
      <c r="Z375" s="61">
        <f t="shared" si="65"/>
        <v>0</v>
      </c>
      <c r="AA375" s="75">
        <f t="shared" si="65"/>
        <v>2468</v>
      </c>
      <c r="AB375" s="151"/>
      <c r="AC375" s="153">
        <v>200</v>
      </c>
      <c r="AD375" s="151"/>
      <c r="AE375" s="153">
        <v>940</v>
      </c>
      <c r="AF375" s="151"/>
      <c r="AG375" s="153">
        <v>1491</v>
      </c>
      <c r="AH375" s="151"/>
      <c r="AI375" s="153"/>
      <c r="AJ375" s="151"/>
      <c r="AK375" s="153"/>
      <c r="AL375" s="151"/>
      <c r="AM375" s="153"/>
      <c r="AN375" s="151"/>
      <c r="AO375" s="153"/>
      <c r="AP375" s="61">
        <f t="shared" si="66"/>
        <v>0</v>
      </c>
      <c r="AQ375" s="75">
        <f t="shared" si="66"/>
        <v>5099</v>
      </c>
      <c r="AR375" s="150"/>
      <c r="AS375" s="21">
        <f t="shared" si="64"/>
        <v>5099</v>
      </c>
      <c r="AT375" s="21">
        <f t="shared" si="58"/>
        <v>2468</v>
      </c>
      <c r="AU375" s="21">
        <f t="shared" si="59"/>
        <v>2631</v>
      </c>
    </row>
    <row r="376" spans="1:47" ht="26.25" x14ac:dyDescent="0.25">
      <c r="A376" s="4" t="s">
        <v>271</v>
      </c>
      <c r="B376" s="4" t="s">
        <v>310</v>
      </c>
      <c r="C376" s="5" t="s">
        <v>311</v>
      </c>
      <c r="D376" s="151"/>
      <c r="E376" s="153"/>
      <c r="F376" s="151"/>
      <c r="G376" s="153"/>
      <c r="H376" s="151"/>
      <c r="I376" s="153"/>
      <c r="J376" s="151"/>
      <c r="K376" s="153"/>
      <c r="L376" s="151"/>
      <c r="M376" s="153"/>
      <c r="N376" s="151"/>
      <c r="O376" s="153"/>
      <c r="P376" s="151"/>
      <c r="Q376" s="153"/>
      <c r="R376" s="151"/>
      <c r="S376" s="153"/>
      <c r="T376" s="151"/>
      <c r="U376" s="153"/>
      <c r="V376" s="151"/>
      <c r="W376" s="153"/>
      <c r="X376" s="151"/>
      <c r="Y376" s="153"/>
      <c r="Z376" s="61">
        <f t="shared" si="65"/>
        <v>0</v>
      </c>
      <c r="AA376" s="75">
        <f t="shared" si="65"/>
        <v>0</v>
      </c>
      <c r="AB376" s="151"/>
      <c r="AC376" s="153"/>
      <c r="AD376" s="151"/>
      <c r="AE376" s="153"/>
      <c r="AF376" s="151"/>
      <c r="AG376" s="153"/>
      <c r="AH376" s="151"/>
      <c r="AI376" s="153"/>
      <c r="AJ376" s="151"/>
      <c r="AK376" s="153"/>
      <c r="AL376" s="151">
        <v>540</v>
      </c>
      <c r="AM376" s="153">
        <v>540</v>
      </c>
      <c r="AN376" s="151"/>
      <c r="AO376" s="153"/>
      <c r="AP376" s="61">
        <f t="shared" si="66"/>
        <v>540</v>
      </c>
      <c r="AQ376" s="75">
        <f t="shared" si="66"/>
        <v>540</v>
      </c>
      <c r="AR376" s="150"/>
      <c r="AS376" s="21">
        <f t="shared" si="64"/>
        <v>0</v>
      </c>
      <c r="AT376" s="21">
        <f t="shared" si="58"/>
        <v>0</v>
      </c>
      <c r="AU376" s="21">
        <f t="shared" si="59"/>
        <v>0</v>
      </c>
    </row>
    <row r="377" spans="1:47" x14ac:dyDescent="0.25">
      <c r="A377" s="4" t="s">
        <v>271</v>
      </c>
      <c r="B377" s="4" t="s">
        <v>312</v>
      </c>
      <c r="C377" s="5" t="s">
        <v>311</v>
      </c>
      <c r="D377" s="151"/>
      <c r="E377" s="153"/>
      <c r="F377" s="151"/>
      <c r="G377" s="153"/>
      <c r="H377" s="151"/>
      <c r="I377" s="153"/>
      <c r="J377" s="151"/>
      <c r="K377" s="153"/>
      <c r="L377" s="151"/>
      <c r="M377" s="153"/>
      <c r="N377" s="151"/>
      <c r="O377" s="153"/>
      <c r="P377" s="151"/>
      <c r="Q377" s="153"/>
      <c r="R377" s="151"/>
      <c r="S377" s="153"/>
      <c r="T377" s="151"/>
      <c r="U377" s="153"/>
      <c r="V377" s="151"/>
      <c r="W377" s="153"/>
      <c r="X377" s="151"/>
      <c r="Y377" s="153"/>
      <c r="Z377" s="61">
        <f t="shared" si="65"/>
        <v>0</v>
      </c>
      <c r="AA377" s="75">
        <f t="shared" si="65"/>
        <v>0</v>
      </c>
      <c r="AB377" s="151"/>
      <c r="AC377" s="153"/>
      <c r="AD377" s="151"/>
      <c r="AE377" s="153"/>
      <c r="AF377" s="151"/>
      <c r="AG377" s="153"/>
      <c r="AH377" s="151"/>
      <c r="AI377" s="153"/>
      <c r="AJ377" s="151"/>
      <c r="AK377" s="153"/>
      <c r="AL377" s="151">
        <v>711</v>
      </c>
      <c r="AM377" s="153">
        <v>711</v>
      </c>
      <c r="AN377" s="151"/>
      <c r="AO377" s="153"/>
      <c r="AP377" s="61">
        <f t="shared" si="66"/>
        <v>711</v>
      </c>
      <c r="AQ377" s="75">
        <f t="shared" si="66"/>
        <v>711</v>
      </c>
      <c r="AR377" s="150"/>
      <c r="AS377" s="21">
        <f t="shared" si="64"/>
        <v>0</v>
      </c>
      <c r="AT377" s="21">
        <f t="shared" si="58"/>
        <v>0</v>
      </c>
      <c r="AU377" s="21">
        <f t="shared" si="59"/>
        <v>0</v>
      </c>
    </row>
    <row r="378" spans="1:47" x14ac:dyDescent="0.25">
      <c r="A378" s="4" t="s">
        <v>271</v>
      </c>
      <c r="B378" s="4" t="s">
        <v>313</v>
      </c>
      <c r="C378" s="5" t="s">
        <v>165</v>
      </c>
      <c r="D378" s="151"/>
      <c r="E378" s="153"/>
      <c r="F378" s="151"/>
      <c r="G378" s="153"/>
      <c r="H378" s="151">
        <v>15000</v>
      </c>
      <c r="I378" s="153">
        <v>15000</v>
      </c>
      <c r="J378" s="151">
        <v>500</v>
      </c>
      <c r="K378" s="153">
        <v>500</v>
      </c>
      <c r="L378" s="151">
        <v>7000</v>
      </c>
      <c r="M378" s="153">
        <v>7000</v>
      </c>
      <c r="N378" s="151"/>
      <c r="O378" s="153"/>
      <c r="P378" s="151"/>
      <c r="Q378" s="153"/>
      <c r="R378" s="151"/>
      <c r="S378" s="153"/>
      <c r="T378" s="151"/>
      <c r="U378" s="153"/>
      <c r="V378" s="151"/>
      <c r="W378" s="153"/>
      <c r="X378" s="151"/>
      <c r="Y378" s="153"/>
      <c r="Z378" s="61">
        <f t="shared" si="65"/>
        <v>22500</v>
      </c>
      <c r="AA378" s="75">
        <f t="shared" si="65"/>
        <v>22500</v>
      </c>
      <c r="AB378" s="151"/>
      <c r="AC378" s="153"/>
      <c r="AD378" s="151">
        <v>7464</v>
      </c>
      <c r="AE378" s="153">
        <v>7464</v>
      </c>
      <c r="AF378" s="151">
        <v>1500</v>
      </c>
      <c r="AG378" s="153">
        <v>1500</v>
      </c>
      <c r="AH378" s="151"/>
      <c r="AI378" s="153"/>
      <c r="AJ378" s="151"/>
      <c r="AK378" s="153"/>
      <c r="AL378" s="151"/>
      <c r="AM378" s="153"/>
      <c r="AN378" s="151"/>
      <c r="AO378" s="153"/>
      <c r="AP378" s="61">
        <f t="shared" si="66"/>
        <v>31464</v>
      </c>
      <c r="AQ378" s="75">
        <f t="shared" si="66"/>
        <v>31464</v>
      </c>
      <c r="AR378" s="150" t="s">
        <v>314</v>
      </c>
      <c r="AS378" s="21">
        <f t="shared" si="64"/>
        <v>0</v>
      </c>
      <c r="AT378" s="21">
        <f t="shared" si="58"/>
        <v>0</v>
      </c>
      <c r="AU378" s="21">
        <f t="shared" si="59"/>
        <v>0</v>
      </c>
    </row>
    <row r="379" spans="1:47" ht="26.25" x14ac:dyDescent="0.25">
      <c r="A379" s="4" t="s">
        <v>271</v>
      </c>
      <c r="B379" s="4" t="s">
        <v>315</v>
      </c>
      <c r="C379" s="5" t="s">
        <v>165</v>
      </c>
      <c r="D379" s="151"/>
      <c r="E379" s="153"/>
      <c r="F379" s="151"/>
      <c r="G379" s="153"/>
      <c r="H379" s="151"/>
      <c r="I379" s="153"/>
      <c r="J379" s="151">
        <v>150</v>
      </c>
      <c r="K379" s="153">
        <v>150</v>
      </c>
      <c r="L379" s="151">
        <v>320</v>
      </c>
      <c r="M379" s="153">
        <v>320</v>
      </c>
      <c r="N379" s="151"/>
      <c r="O379" s="153"/>
      <c r="P379" s="151"/>
      <c r="Q379" s="153"/>
      <c r="R379" s="151"/>
      <c r="S379" s="153"/>
      <c r="T379" s="151"/>
      <c r="U379" s="153"/>
      <c r="V379" s="151"/>
      <c r="W379" s="153"/>
      <c r="X379" s="151"/>
      <c r="Y379" s="153"/>
      <c r="Z379" s="61">
        <f t="shared" si="65"/>
        <v>470</v>
      </c>
      <c r="AA379" s="75">
        <f t="shared" si="65"/>
        <v>470</v>
      </c>
      <c r="AB379" s="151"/>
      <c r="AC379" s="153"/>
      <c r="AD379" s="151">
        <v>9500</v>
      </c>
      <c r="AE379" s="153">
        <v>9500</v>
      </c>
      <c r="AF379" s="151">
        <v>500</v>
      </c>
      <c r="AG379" s="153">
        <v>500</v>
      </c>
      <c r="AH379" s="151"/>
      <c r="AI379" s="153"/>
      <c r="AJ379" s="151"/>
      <c r="AK379" s="153"/>
      <c r="AL379" s="151"/>
      <c r="AM379" s="153"/>
      <c r="AN379" s="151"/>
      <c r="AO379" s="153"/>
      <c r="AP379" s="61">
        <f t="shared" si="66"/>
        <v>10470</v>
      </c>
      <c r="AQ379" s="75">
        <f t="shared" si="66"/>
        <v>10470</v>
      </c>
      <c r="AR379" s="150" t="s">
        <v>314</v>
      </c>
      <c r="AS379" s="21">
        <f t="shared" si="64"/>
        <v>0</v>
      </c>
      <c r="AT379" s="21">
        <f t="shared" si="58"/>
        <v>0</v>
      </c>
      <c r="AU379" s="21">
        <f t="shared" si="59"/>
        <v>0</v>
      </c>
    </row>
    <row r="380" spans="1:47" ht="26.25" x14ac:dyDescent="0.25">
      <c r="A380" s="4" t="s">
        <v>271</v>
      </c>
      <c r="B380" s="4" t="s">
        <v>316</v>
      </c>
      <c r="C380" s="5" t="s">
        <v>60</v>
      </c>
      <c r="D380" s="151"/>
      <c r="E380" s="153"/>
      <c r="F380" s="151"/>
      <c r="G380" s="153"/>
      <c r="H380" s="151"/>
      <c r="I380" s="153"/>
      <c r="J380" s="151">
        <v>50</v>
      </c>
      <c r="K380" s="153">
        <v>50</v>
      </c>
      <c r="L380" s="151">
        <v>770</v>
      </c>
      <c r="M380" s="153">
        <v>770</v>
      </c>
      <c r="N380" s="151"/>
      <c r="O380" s="153"/>
      <c r="P380" s="151"/>
      <c r="Q380" s="153"/>
      <c r="R380" s="151"/>
      <c r="S380" s="153"/>
      <c r="T380" s="151"/>
      <c r="U380" s="153"/>
      <c r="V380" s="151"/>
      <c r="W380" s="153"/>
      <c r="X380" s="151"/>
      <c r="Y380" s="153"/>
      <c r="Z380" s="61">
        <f t="shared" si="65"/>
        <v>820</v>
      </c>
      <c r="AA380" s="75">
        <f t="shared" si="65"/>
        <v>820</v>
      </c>
      <c r="AB380" s="151"/>
      <c r="AC380" s="153"/>
      <c r="AD380" s="151">
        <v>8500</v>
      </c>
      <c r="AE380" s="153">
        <v>8500</v>
      </c>
      <c r="AF380" s="151">
        <v>1000</v>
      </c>
      <c r="AG380" s="153">
        <v>1000</v>
      </c>
      <c r="AH380" s="151"/>
      <c r="AI380" s="153"/>
      <c r="AJ380" s="151"/>
      <c r="AK380" s="153"/>
      <c r="AL380" s="151"/>
      <c r="AM380" s="153"/>
      <c r="AN380" s="151"/>
      <c r="AO380" s="153"/>
      <c r="AP380" s="61">
        <f t="shared" si="66"/>
        <v>10320</v>
      </c>
      <c r="AQ380" s="75">
        <f t="shared" si="66"/>
        <v>10320</v>
      </c>
      <c r="AR380" s="150" t="s">
        <v>314</v>
      </c>
      <c r="AS380" s="21">
        <f t="shared" si="64"/>
        <v>0</v>
      </c>
      <c r="AT380" s="21">
        <f t="shared" si="58"/>
        <v>0</v>
      </c>
      <c r="AU380" s="21">
        <f t="shared" si="59"/>
        <v>0</v>
      </c>
    </row>
    <row r="381" spans="1:47" ht="26.25" x14ac:dyDescent="0.25">
      <c r="A381" s="4" t="s">
        <v>271</v>
      </c>
      <c r="B381" s="4" t="s">
        <v>317</v>
      </c>
      <c r="C381" s="5" t="s">
        <v>165</v>
      </c>
      <c r="D381" s="151"/>
      <c r="E381" s="153"/>
      <c r="F381" s="151"/>
      <c r="G381" s="153"/>
      <c r="H381" s="151">
        <v>3800</v>
      </c>
      <c r="I381" s="153">
        <v>3000</v>
      </c>
      <c r="J381" s="151"/>
      <c r="K381" s="153"/>
      <c r="L381" s="151"/>
      <c r="M381" s="153"/>
      <c r="N381" s="151"/>
      <c r="O381" s="153"/>
      <c r="P381" s="151"/>
      <c r="Q381" s="153"/>
      <c r="R381" s="151"/>
      <c r="S381" s="153"/>
      <c r="T381" s="151"/>
      <c r="U381" s="153"/>
      <c r="V381" s="151"/>
      <c r="W381" s="153"/>
      <c r="X381" s="151"/>
      <c r="Y381" s="153"/>
      <c r="Z381" s="61">
        <f t="shared" si="65"/>
        <v>3800</v>
      </c>
      <c r="AA381" s="75">
        <f t="shared" si="65"/>
        <v>3000</v>
      </c>
      <c r="AB381" s="151"/>
      <c r="AC381" s="153"/>
      <c r="AD381" s="151">
        <v>2710</v>
      </c>
      <c r="AE381" s="153">
        <v>1700</v>
      </c>
      <c r="AF381" s="151"/>
      <c r="AG381" s="153"/>
      <c r="AH381" s="151"/>
      <c r="AI381" s="153"/>
      <c r="AJ381" s="151"/>
      <c r="AK381" s="153"/>
      <c r="AL381" s="151"/>
      <c r="AM381" s="153"/>
      <c r="AN381" s="151"/>
      <c r="AO381" s="153"/>
      <c r="AP381" s="61">
        <f t="shared" si="66"/>
        <v>6510</v>
      </c>
      <c r="AQ381" s="75">
        <f t="shared" si="66"/>
        <v>4700</v>
      </c>
      <c r="AR381" s="150" t="s">
        <v>314</v>
      </c>
      <c r="AS381" s="21">
        <f t="shared" si="64"/>
        <v>-1810</v>
      </c>
      <c r="AT381" s="21">
        <f t="shared" si="58"/>
        <v>0</v>
      </c>
      <c r="AU381" s="21">
        <f t="shared" si="59"/>
        <v>-1810</v>
      </c>
    </row>
    <row r="382" spans="1:47" ht="26.25" x14ac:dyDescent="0.25">
      <c r="A382" s="4" t="s">
        <v>271</v>
      </c>
      <c r="B382" s="4" t="s">
        <v>65</v>
      </c>
      <c r="C382" s="5" t="s">
        <v>60</v>
      </c>
      <c r="D382" s="151">
        <v>527239</v>
      </c>
      <c r="E382" s="153">
        <v>519241</v>
      </c>
      <c r="F382" s="151">
        <v>1100</v>
      </c>
      <c r="G382" s="153">
        <v>1000</v>
      </c>
      <c r="H382" s="151">
        <v>10000</v>
      </c>
      <c r="I382" s="153">
        <v>10000</v>
      </c>
      <c r="J382" s="151">
        <v>3500</v>
      </c>
      <c r="K382" s="153">
        <v>2500</v>
      </c>
      <c r="L382" s="151">
        <v>8000</v>
      </c>
      <c r="M382" s="153">
        <v>4500</v>
      </c>
      <c r="N382" s="151">
        <v>25000</v>
      </c>
      <c r="O382" s="153">
        <v>25000</v>
      </c>
      <c r="P382" s="151"/>
      <c r="Q382" s="153"/>
      <c r="R382" s="151">
        <v>103000</v>
      </c>
      <c r="S382" s="153">
        <v>98000</v>
      </c>
      <c r="T382" s="151"/>
      <c r="U382" s="153"/>
      <c r="V382" s="151"/>
      <c r="W382" s="153"/>
      <c r="X382" s="151">
        <v>2700</v>
      </c>
      <c r="Y382" s="153">
        <v>2700</v>
      </c>
      <c r="Z382" s="61">
        <f t="shared" si="65"/>
        <v>680539</v>
      </c>
      <c r="AA382" s="75">
        <f t="shared" si="65"/>
        <v>662941</v>
      </c>
      <c r="AB382" s="151">
        <v>1020</v>
      </c>
      <c r="AC382" s="153">
        <v>100</v>
      </c>
      <c r="AD382" s="151">
        <v>51800</v>
      </c>
      <c r="AE382" s="153">
        <v>51000</v>
      </c>
      <c r="AF382" s="151">
        <v>82858</v>
      </c>
      <c r="AG382" s="153">
        <v>80800</v>
      </c>
      <c r="AH382" s="151"/>
      <c r="AI382" s="153"/>
      <c r="AJ382" s="151">
        <v>10000</v>
      </c>
      <c r="AK382" s="153"/>
      <c r="AL382" s="151"/>
      <c r="AM382" s="153"/>
      <c r="AN382" s="151"/>
      <c r="AO382" s="153"/>
      <c r="AP382" s="61">
        <f t="shared" si="66"/>
        <v>826217</v>
      </c>
      <c r="AQ382" s="75">
        <f t="shared" si="66"/>
        <v>794841</v>
      </c>
      <c r="AR382" s="150" t="s">
        <v>314</v>
      </c>
      <c r="AS382" s="21">
        <f t="shared" si="64"/>
        <v>-31376</v>
      </c>
      <c r="AT382" s="21">
        <f t="shared" si="58"/>
        <v>-7998</v>
      </c>
      <c r="AU382" s="21">
        <f t="shared" si="59"/>
        <v>-23378</v>
      </c>
    </row>
    <row r="383" spans="1:47" ht="26.25" x14ac:dyDescent="0.25">
      <c r="A383" s="4" t="s">
        <v>271</v>
      </c>
      <c r="B383" s="4" t="s">
        <v>318</v>
      </c>
      <c r="C383" s="5" t="s">
        <v>60</v>
      </c>
      <c r="D383" s="151"/>
      <c r="E383" s="153"/>
      <c r="F383" s="151"/>
      <c r="G383" s="153"/>
      <c r="H383" s="151"/>
      <c r="I383" s="153"/>
      <c r="J383" s="151"/>
      <c r="K383" s="153"/>
      <c r="L383" s="151"/>
      <c r="M383" s="153"/>
      <c r="N383" s="151"/>
      <c r="O383" s="153"/>
      <c r="P383" s="151"/>
      <c r="Q383" s="153"/>
      <c r="R383" s="151"/>
      <c r="S383" s="153"/>
      <c r="T383" s="151"/>
      <c r="U383" s="153"/>
      <c r="V383" s="151"/>
      <c r="W383" s="153"/>
      <c r="X383" s="151"/>
      <c r="Y383" s="153"/>
      <c r="Z383" s="61">
        <f t="shared" si="65"/>
        <v>0</v>
      </c>
      <c r="AA383" s="75">
        <f t="shared" si="65"/>
        <v>0</v>
      </c>
      <c r="AB383" s="151"/>
      <c r="AC383" s="153"/>
      <c r="AD383" s="151">
        <v>17975</v>
      </c>
      <c r="AE383" s="153">
        <v>34700</v>
      </c>
      <c r="AF383" s="151">
        <v>4260</v>
      </c>
      <c r="AG383" s="153">
        <v>2320</v>
      </c>
      <c r="AH383" s="151"/>
      <c r="AI383" s="153"/>
      <c r="AJ383" s="151"/>
      <c r="AK383" s="153"/>
      <c r="AL383" s="151"/>
      <c r="AM383" s="153">
        <v>200</v>
      </c>
      <c r="AN383" s="151"/>
      <c r="AO383" s="153"/>
      <c r="AP383" s="61">
        <f t="shared" si="66"/>
        <v>22235</v>
      </c>
      <c r="AQ383" s="75">
        <f t="shared" si="66"/>
        <v>37220</v>
      </c>
      <c r="AR383" s="150" t="s">
        <v>319</v>
      </c>
      <c r="AS383" s="21">
        <f t="shared" si="64"/>
        <v>14985</v>
      </c>
      <c r="AT383" s="21">
        <f t="shared" si="58"/>
        <v>0</v>
      </c>
      <c r="AU383" s="21">
        <f t="shared" si="59"/>
        <v>14985</v>
      </c>
    </row>
    <row r="384" spans="1:47" ht="39" x14ac:dyDescent="0.25">
      <c r="A384" s="4" t="s">
        <v>271</v>
      </c>
      <c r="B384" s="4" t="s">
        <v>320</v>
      </c>
      <c r="C384" s="5" t="s">
        <v>60</v>
      </c>
      <c r="D384" s="151"/>
      <c r="E384" s="153"/>
      <c r="F384" s="151"/>
      <c r="G384" s="153"/>
      <c r="H384" s="151"/>
      <c r="I384" s="153"/>
      <c r="J384" s="151"/>
      <c r="K384" s="153"/>
      <c r="L384" s="151"/>
      <c r="M384" s="153"/>
      <c r="N384" s="151"/>
      <c r="O384" s="153"/>
      <c r="P384" s="151"/>
      <c r="Q384" s="153"/>
      <c r="R384" s="151"/>
      <c r="S384" s="153"/>
      <c r="T384" s="151"/>
      <c r="U384" s="153"/>
      <c r="V384" s="151"/>
      <c r="W384" s="153"/>
      <c r="X384" s="151"/>
      <c r="Y384" s="153"/>
      <c r="Z384" s="61">
        <f t="shared" si="65"/>
        <v>0</v>
      </c>
      <c r="AA384" s="75">
        <f t="shared" si="65"/>
        <v>0</v>
      </c>
      <c r="AB384" s="151"/>
      <c r="AC384" s="153"/>
      <c r="AD384" s="151">
        <v>6000</v>
      </c>
      <c r="AE384" s="153">
        <v>5600</v>
      </c>
      <c r="AF384" s="151"/>
      <c r="AG384" s="153"/>
      <c r="AH384" s="151"/>
      <c r="AI384" s="153"/>
      <c r="AJ384" s="151"/>
      <c r="AK384" s="153"/>
      <c r="AL384" s="151"/>
      <c r="AM384" s="153"/>
      <c r="AN384" s="151"/>
      <c r="AO384" s="153"/>
      <c r="AP384" s="61">
        <f t="shared" si="66"/>
        <v>6000</v>
      </c>
      <c r="AQ384" s="75">
        <f t="shared" si="66"/>
        <v>5600</v>
      </c>
      <c r="AR384" s="150" t="s">
        <v>314</v>
      </c>
      <c r="AS384" s="21">
        <f t="shared" si="64"/>
        <v>-400</v>
      </c>
      <c r="AT384" s="21">
        <f t="shared" si="58"/>
        <v>0</v>
      </c>
      <c r="AU384" s="21">
        <f t="shared" si="59"/>
        <v>-400</v>
      </c>
    </row>
    <row r="385" spans="1:47" x14ac:dyDescent="0.25">
      <c r="A385" s="4" t="s">
        <v>271</v>
      </c>
      <c r="B385" s="4" t="s">
        <v>321</v>
      </c>
      <c r="C385" s="5" t="s">
        <v>60</v>
      </c>
      <c r="D385" s="151">
        <v>0</v>
      </c>
      <c r="E385" s="153"/>
      <c r="F385" s="151"/>
      <c r="G385" s="153"/>
      <c r="H385" s="151"/>
      <c r="I385" s="153"/>
      <c r="J385" s="151"/>
      <c r="K385" s="153"/>
      <c r="L385" s="151"/>
      <c r="M385" s="153"/>
      <c r="N385" s="151"/>
      <c r="O385" s="153"/>
      <c r="P385" s="151"/>
      <c r="Q385" s="153"/>
      <c r="R385" s="151"/>
      <c r="S385" s="153"/>
      <c r="T385" s="151"/>
      <c r="U385" s="153"/>
      <c r="V385" s="151"/>
      <c r="W385" s="153"/>
      <c r="X385" s="151"/>
      <c r="Y385" s="153"/>
      <c r="Z385" s="61">
        <f t="shared" si="65"/>
        <v>0</v>
      </c>
      <c r="AA385" s="75">
        <f t="shared" si="65"/>
        <v>0</v>
      </c>
      <c r="AB385" s="151"/>
      <c r="AC385" s="153"/>
      <c r="AD385" s="151">
        <v>1000</v>
      </c>
      <c r="AE385" s="153">
        <v>750</v>
      </c>
      <c r="AF385" s="151"/>
      <c r="AG385" s="153"/>
      <c r="AH385" s="151"/>
      <c r="AI385" s="153"/>
      <c r="AJ385" s="151"/>
      <c r="AK385" s="153"/>
      <c r="AL385" s="151"/>
      <c r="AM385" s="153"/>
      <c r="AN385" s="151"/>
      <c r="AO385" s="153"/>
      <c r="AP385" s="61">
        <f t="shared" si="66"/>
        <v>1000</v>
      </c>
      <c r="AQ385" s="75">
        <f t="shared" si="66"/>
        <v>750</v>
      </c>
      <c r="AR385" s="150" t="s">
        <v>61</v>
      </c>
      <c r="AS385" s="21">
        <f t="shared" si="64"/>
        <v>-250</v>
      </c>
      <c r="AT385" s="21">
        <f t="shared" si="58"/>
        <v>0</v>
      </c>
      <c r="AU385" s="21">
        <f t="shared" si="59"/>
        <v>-250</v>
      </c>
    </row>
    <row r="386" spans="1:47" ht="26.25" x14ac:dyDescent="0.25">
      <c r="A386" s="4" t="s">
        <v>271</v>
      </c>
      <c r="B386" s="4" t="s">
        <v>322</v>
      </c>
      <c r="C386" s="5" t="s">
        <v>70</v>
      </c>
      <c r="D386" s="151">
        <v>4964</v>
      </c>
      <c r="E386" s="153">
        <v>4964</v>
      </c>
      <c r="F386" s="151"/>
      <c r="G386" s="153"/>
      <c r="H386" s="151"/>
      <c r="I386" s="153"/>
      <c r="J386" s="151"/>
      <c r="K386" s="153"/>
      <c r="L386" s="151"/>
      <c r="M386" s="153"/>
      <c r="N386" s="151"/>
      <c r="O386" s="153"/>
      <c r="P386" s="151"/>
      <c r="Q386" s="153"/>
      <c r="R386" s="151"/>
      <c r="S386" s="153"/>
      <c r="T386" s="151"/>
      <c r="U386" s="153"/>
      <c r="V386" s="151"/>
      <c r="W386" s="153"/>
      <c r="X386" s="151"/>
      <c r="Y386" s="153"/>
      <c r="Z386" s="61">
        <f t="shared" si="65"/>
        <v>4964</v>
      </c>
      <c r="AA386" s="75">
        <f t="shared" si="65"/>
        <v>4964</v>
      </c>
      <c r="AB386" s="151"/>
      <c r="AC386" s="153"/>
      <c r="AD386" s="151">
        <v>5000</v>
      </c>
      <c r="AE386" s="153">
        <v>0</v>
      </c>
      <c r="AF386" s="151">
        <v>53110</v>
      </c>
      <c r="AG386" s="153">
        <v>55360</v>
      </c>
      <c r="AH386" s="151"/>
      <c r="AI386" s="153"/>
      <c r="AJ386" s="151"/>
      <c r="AK386" s="153"/>
      <c r="AL386" s="151">
        <v>50</v>
      </c>
      <c r="AM386" s="153">
        <v>500</v>
      </c>
      <c r="AN386" s="151"/>
      <c r="AO386" s="153"/>
      <c r="AP386" s="61">
        <f t="shared" si="66"/>
        <v>63124</v>
      </c>
      <c r="AQ386" s="75">
        <f t="shared" si="66"/>
        <v>60824</v>
      </c>
      <c r="AR386" s="150" t="s">
        <v>71</v>
      </c>
      <c r="AS386" s="21">
        <f t="shared" si="64"/>
        <v>-2300</v>
      </c>
      <c r="AT386" s="21">
        <f t="shared" si="58"/>
        <v>0</v>
      </c>
      <c r="AU386" s="21">
        <f t="shared" si="59"/>
        <v>-2300</v>
      </c>
    </row>
    <row r="387" spans="1:47" ht="26.25" x14ac:dyDescent="0.25">
      <c r="A387" s="4" t="s">
        <v>271</v>
      </c>
      <c r="B387" s="4" t="s">
        <v>323</v>
      </c>
      <c r="C387" s="5" t="s">
        <v>70</v>
      </c>
      <c r="D387" s="151"/>
      <c r="E387" s="153"/>
      <c r="F387" s="151"/>
      <c r="G387" s="153"/>
      <c r="H387" s="151"/>
      <c r="I387" s="153"/>
      <c r="J387" s="151"/>
      <c r="K387" s="153"/>
      <c r="L387" s="151"/>
      <c r="M387" s="153"/>
      <c r="N387" s="151"/>
      <c r="O387" s="153"/>
      <c r="P387" s="151"/>
      <c r="Q387" s="153"/>
      <c r="R387" s="151"/>
      <c r="S387" s="153"/>
      <c r="T387" s="151"/>
      <c r="U387" s="153"/>
      <c r="V387" s="151"/>
      <c r="W387" s="153"/>
      <c r="X387" s="151"/>
      <c r="Y387" s="153"/>
      <c r="Z387" s="61">
        <f t="shared" si="65"/>
        <v>0</v>
      </c>
      <c r="AA387" s="75">
        <f t="shared" si="65"/>
        <v>0</v>
      </c>
      <c r="AB387" s="151"/>
      <c r="AC387" s="153"/>
      <c r="AD387" s="151">
        <v>45000</v>
      </c>
      <c r="AE387" s="153">
        <v>30500</v>
      </c>
      <c r="AF387" s="151"/>
      <c r="AG387" s="153"/>
      <c r="AH387" s="151"/>
      <c r="AI387" s="153"/>
      <c r="AJ387" s="151"/>
      <c r="AK387" s="153"/>
      <c r="AL387" s="151"/>
      <c r="AM387" s="153"/>
      <c r="AN387" s="151"/>
      <c r="AO387" s="153"/>
      <c r="AP387" s="61">
        <f t="shared" si="66"/>
        <v>45000</v>
      </c>
      <c r="AQ387" s="75">
        <f t="shared" si="66"/>
        <v>30500</v>
      </c>
      <c r="AR387" s="150" t="s">
        <v>71</v>
      </c>
      <c r="AS387" s="21">
        <f t="shared" si="64"/>
        <v>-14500</v>
      </c>
      <c r="AT387" s="21">
        <f t="shared" si="58"/>
        <v>0</v>
      </c>
      <c r="AU387" s="21">
        <f t="shared" si="59"/>
        <v>-14500</v>
      </c>
    </row>
    <row r="388" spans="1:47" x14ac:dyDescent="0.25">
      <c r="A388" s="4" t="s">
        <v>271</v>
      </c>
      <c r="B388" s="4" t="s">
        <v>324</v>
      </c>
      <c r="C388" s="5" t="s">
        <v>73</v>
      </c>
      <c r="D388" s="151">
        <v>6299</v>
      </c>
      <c r="E388" s="153">
        <f>7740+390</f>
        <v>8130</v>
      </c>
      <c r="F388" s="151"/>
      <c r="G388" s="153"/>
      <c r="H388" s="151"/>
      <c r="I388" s="153"/>
      <c r="J388" s="151"/>
      <c r="K388" s="153"/>
      <c r="L388" s="151"/>
      <c r="M388" s="153"/>
      <c r="N388" s="151"/>
      <c r="O388" s="153"/>
      <c r="P388" s="151"/>
      <c r="Q388" s="153"/>
      <c r="R388" s="151"/>
      <c r="S388" s="153"/>
      <c r="T388" s="151"/>
      <c r="U388" s="153"/>
      <c r="V388" s="151"/>
      <c r="W388" s="153"/>
      <c r="X388" s="151"/>
      <c r="Y388" s="153"/>
      <c r="Z388" s="61">
        <f t="shared" si="65"/>
        <v>6299</v>
      </c>
      <c r="AA388" s="75">
        <f t="shared" si="65"/>
        <v>8130</v>
      </c>
      <c r="AB388" s="151"/>
      <c r="AC388" s="153"/>
      <c r="AD388" s="151">
        <f>40295+500</f>
        <v>40795</v>
      </c>
      <c r="AE388" s="153">
        <v>25782</v>
      </c>
      <c r="AF388" s="151">
        <v>8156</v>
      </c>
      <c r="AG388" s="153">
        <v>11088</v>
      </c>
      <c r="AH388" s="151"/>
      <c r="AI388" s="153"/>
      <c r="AJ388" s="151"/>
      <c r="AK388" s="153"/>
      <c r="AL388" s="151"/>
      <c r="AM388" s="153"/>
      <c r="AN388" s="151"/>
      <c r="AO388" s="153"/>
      <c r="AP388" s="61">
        <f t="shared" si="66"/>
        <v>55250</v>
      </c>
      <c r="AQ388" s="75">
        <f t="shared" si="66"/>
        <v>45000</v>
      </c>
      <c r="AR388" s="150" t="s">
        <v>74</v>
      </c>
      <c r="AS388" s="21">
        <f t="shared" si="64"/>
        <v>-10250</v>
      </c>
      <c r="AT388" s="21">
        <f t="shared" si="58"/>
        <v>1831</v>
      </c>
      <c r="AU388" s="21">
        <f t="shared" si="59"/>
        <v>-12081</v>
      </c>
    </row>
    <row r="389" spans="1:47" x14ac:dyDescent="0.25">
      <c r="A389" s="4" t="s">
        <v>271</v>
      </c>
      <c r="B389" s="4" t="s">
        <v>97</v>
      </c>
      <c r="C389" s="5" t="s">
        <v>96</v>
      </c>
      <c r="D389" s="151"/>
      <c r="E389" s="153"/>
      <c r="F389" s="151"/>
      <c r="G389" s="153"/>
      <c r="H389" s="151"/>
      <c r="I389" s="153"/>
      <c r="J389" s="151"/>
      <c r="K389" s="153"/>
      <c r="L389" s="151"/>
      <c r="M389" s="153"/>
      <c r="N389" s="151"/>
      <c r="O389" s="153"/>
      <c r="P389" s="151"/>
      <c r="Q389" s="153"/>
      <c r="R389" s="151"/>
      <c r="S389" s="153"/>
      <c r="T389" s="151"/>
      <c r="U389" s="153"/>
      <c r="V389" s="151">
        <f>22300-8200</f>
        <v>14100</v>
      </c>
      <c r="W389" s="153">
        <f>22300-7000</f>
        <v>15300</v>
      </c>
      <c r="X389" s="151"/>
      <c r="Y389" s="153"/>
      <c r="Z389" s="61">
        <f t="shared" si="65"/>
        <v>14100</v>
      </c>
      <c r="AA389" s="75">
        <f t="shared" si="65"/>
        <v>15300</v>
      </c>
      <c r="AB389" s="151"/>
      <c r="AC389" s="153"/>
      <c r="AD389" s="151"/>
      <c r="AE389" s="153"/>
      <c r="AF389" s="151"/>
      <c r="AG389" s="153"/>
      <c r="AH389" s="151"/>
      <c r="AI389" s="153"/>
      <c r="AJ389" s="151"/>
      <c r="AK389" s="153"/>
      <c r="AL389" s="151"/>
      <c r="AM389" s="153"/>
      <c r="AN389" s="151"/>
      <c r="AO389" s="153"/>
      <c r="AP389" s="61">
        <f t="shared" si="66"/>
        <v>14100</v>
      </c>
      <c r="AQ389" s="75">
        <f t="shared" si="66"/>
        <v>15300</v>
      </c>
      <c r="AR389" s="150" t="s">
        <v>80</v>
      </c>
      <c r="AS389" s="21">
        <f t="shared" si="64"/>
        <v>1200</v>
      </c>
      <c r="AT389" s="21">
        <f t="shared" si="58"/>
        <v>0</v>
      </c>
      <c r="AU389" s="21">
        <f t="shared" si="59"/>
        <v>1200</v>
      </c>
    </row>
    <row r="390" spans="1:47" x14ac:dyDescent="0.25">
      <c r="A390" s="4" t="s">
        <v>271</v>
      </c>
      <c r="B390" s="4" t="s">
        <v>325</v>
      </c>
      <c r="C390" s="5" t="s">
        <v>96</v>
      </c>
      <c r="D390" s="151">
        <v>101704</v>
      </c>
      <c r="E390" s="153">
        <v>112892</v>
      </c>
      <c r="F390" s="151"/>
      <c r="G390" s="153"/>
      <c r="H390" s="151"/>
      <c r="I390" s="153"/>
      <c r="J390" s="151"/>
      <c r="K390" s="153"/>
      <c r="L390" s="151"/>
      <c r="M390" s="153"/>
      <c r="N390" s="151"/>
      <c r="O390" s="153"/>
      <c r="P390" s="151"/>
      <c r="Q390" s="153"/>
      <c r="R390" s="151">
        <v>300</v>
      </c>
      <c r="S390" s="153">
        <v>300</v>
      </c>
      <c r="T390" s="151">
        <v>52081</v>
      </c>
      <c r="U390" s="153">
        <v>50977</v>
      </c>
      <c r="V390" s="151"/>
      <c r="W390" s="153"/>
      <c r="X390" s="151"/>
      <c r="Y390" s="153"/>
      <c r="Z390" s="61">
        <f t="shared" si="65"/>
        <v>154085</v>
      </c>
      <c r="AA390" s="75">
        <f t="shared" si="65"/>
        <v>164169</v>
      </c>
      <c r="AB390" s="151"/>
      <c r="AC390" s="153"/>
      <c r="AD390" s="151">
        <v>1680</v>
      </c>
      <c r="AE390" s="153">
        <v>600</v>
      </c>
      <c r="AF390" s="151">
        <v>12000</v>
      </c>
      <c r="AG390" s="153">
        <v>6000</v>
      </c>
      <c r="AH390" s="151"/>
      <c r="AI390" s="153"/>
      <c r="AJ390" s="151"/>
      <c r="AK390" s="153"/>
      <c r="AL390" s="151"/>
      <c r="AM390" s="153"/>
      <c r="AN390" s="151"/>
      <c r="AO390" s="153"/>
      <c r="AP390" s="61">
        <f t="shared" si="66"/>
        <v>167765</v>
      </c>
      <c r="AQ390" s="75">
        <f t="shared" si="66"/>
        <v>170769</v>
      </c>
      <c r="AR390" s="150" t="s">
        <v>80</v>
      </c>
      <c r="AS390" s="21">
        <f t="shared" si="64"/>
        <v>3004</v>
      </c>
      <c r="AT390" s="21">
        <f t="shared" si="58"/>
        <v>11188</v>
      </c>
      <c r="AU390" s="21">
        <f t="shared" si="59"/>
        <v>-8184</v>
      </c>
    </row>
    <row r="391" spans="1:47" ht="39" x14ac:dyDescent="0.25">
      <c r="A391" s="4" t="s">
        <v>271</v>
      </c>
      <c r="B391" s="4" t="s">
        <v>326</v>
      </c>
      <c r="C391" s="5" t="s">
        <v>96</v>
      </c>
      <c r="D391" s="151"/>
      <c r="E391" s="153"/>
      <c r="F391" s="151"/>
      <c r="G391" s="153"/>
      <c r="H391" s="151"/>
      <c r="I391" s="153"/>
      <c r="J391" s="151"/>
      <c r="K391" s="153"/>
      <c r="L391" s="151"/>
      <c r="M391" s="153"/>
      <c r="N391" s="151"/>
      <c r="O391" s="153"/>
      <c r="P391" s="151"/>
      <c r="Q391" s="153"/>
      <c r="R391" s="151"/>
      <c r="S391" s="153"/>
      <c r="T391" s="151">
        <v>20516</v>
      </c>
      <c r="U391" s="153">
        <v>19835</v>
      </c>
      <c r="V391" s="151"/>
      <c r="W391" s="153"/>
      <c r="X391" s="151"/>
      <c r="Y391" s="153"/>
      <c r="Z391" s="61">
        <f t="shared" si="65"/>
        <v>20516</v>
      </c>
      <c r="AA391" s="75">
        <f t="shared" si="65"/>
        <v>19835</v>
      </c>
      <c r="AB391" s="151"/>
      <c r="AC391" s="153"/>
      <c r="AD391" s="151"/>
      <c r="AE391" s="153"/>
      <c r="AF391" s="151"/>
      <c r="AG391" s="153"/>
      <c r="AH391" s="151"/>
      <c r="AI391" s="153"/>
      <c r="AJ391" s="151"/>
      <c r="AK391" s="153"/>
      <c r="AL391" s="151"/>
      <c r="AM391" s="153"/>
      <c r="AN391" s="151"/>
      <c r="AO391" s="153"/>
      <c r="AP391" s="61">
        <f t="shared" si="66"/>
        <v>20516</v>
      </c>
      <c r="AQ391" s="75">
        <f t="shared" si="66"/>
        <v>19835</v>
      </c>
      <c r="AR391" s="150" t="s">
        <v>80</v>
      </c>
      <c r="AS391" s="21">
        <f t="shared" si="64"/>
        <v>-681</v>
      </c>
      <c r="AT391" s="21">
        <f t="shared" si="58"/>
        <v>0</v>
      </c>
      <c r="AU391" s="21">
        <f t="shared" si="59"/>
        <v>-681</v>
      </c>
    </row>
    <row r="392" spans="1:47" ht="26.25" x14ac:dyDescent="0.25">
      <c r="A392" s="4" t="s">
        <v>271</v>
      </c>
      <c r="B392" s="4" t="s">
        <v>328</v>
      </c>
      <c r="C392" s="5" t="s">
        <v>96</v>
      </c>
      <c r="D392" s="151"/>
      <c r="E392" s="153"/>
      <c r="F392" s="151"/>
      <c r="G392" s="153"/>
      <c r="H392" s="151"/>
      <c r="I392" s="153"/>
      <c r="J392" s="151"/>
      <c r="K392" s="153"/>
      <c r="L392" s="151"/>
      <c r="M392" s="153"/>
      <c r="N392" s="151"/>
      <c r="O392" s="153"/>
      <c r="P392" s="151"/>
      <c r="Q392" s="153"/>
      <c r="R392" s="151"/>
      <c r="S392" s="153"/>
      <c r="T392" s="151">
        <v>7300</v>
      </c>
      <c r="U392" s="153">
        <v>7300</v>
      </c>
      <c r="V392" s="151"/>
      <c r="W392" s="153"/>
      <c r="X392" s="151"/>
      <c r="Y392" s="153"/>
      <c r="Z392" s="61">
        <f t="shared" si="65"/>
        <v>7300</v>
      </c>
      <c r="AA392" s="75">
        <f t="shared" si="65"/>
        <v>7300</v>
      </c>
      <c r="AB392" s="151"/>
      <c r="AC392" s="153"/>
      <c r="AD392" s="151"/>
      <c r="AE392" s="153"/>
      <c r="AF392" s="151"/>
      <c r="AG392" s="153"/>
      <c r="AH392" s="151"/>
      <c r="AI392" s="153"/>
      <c r="AJ392" s="151"/>
      <c r="AK392" s="153"/>
      <c r="AL392" s="151"/>
      <c r="AM392" s="153"/>
      <c r="AN392" s="151"/>
      <c r="AO392" s="153"/>
      <c r="AP392" s="61">
        <f t="shared" si="66"/>
        <v>7300</v>
      </c>
      <c r="AQ392" s="75">
        <f t="shared" si="66"/>
        <v>7300</v>
      </c>
      <c r="AR392" s="150" t="s">
        <v>80</v>
      </c>
      <c r="AS392" s="21">
        <f t="shared" si="64"/>
        <v>0</v>
      </c>
      <c r="AT392" s="21">
        <f t="shared" si="58"/>
        <v>0</v>
      </c>
      <c r="AU392" s="21">
        <f t="shared" si="59"/>
        <v>0</v>
      </c>
    </row>
    <row r="393" spans="1:47" ht="30.75" customHeight="1" x14ac:dyDescent="0.25">
      <c r="A393" s="4" t="s">
        <v>271</v>
      </c>
      <c r="B393" s="4" t="s">
        <v>329</v>
      </c>
      <c r="C393" s="5" t="s">
        <v>96</v>
      </c>
      <c r="D393" s="151"/>
      <c r="E393" s="153"/>
      <c r="F393" s="151"/>
      <c r="G393" s="153"/>
      <c r="H393" s="151"/>
      <c r="I393" s="153"/>
      <c r="J393" s="151"/>
      <c r="K393" s="153"/>
      <c r="L393" s="151"/>
      <c r="M393" s="153"/>
      <c r="N393" s="151"/>
      <c r="O393" s="153"/>
      <c r="P393" s="151"/>
      <c r="Q393" s="153"/>
      <c r="R393" s="151"/>
      <c r="S393" s="153"/>
      <c r="T393" s="151">
        <v>6816</v>
      </c>
      <c r="U393" s="153">
        <v>8111</v>
      </c>
      <c r="V393" s="151"/>
      <c r="W393" s="153"/>
      <c r="X393" s="151"/>
      <c r="Y393" s="153"/>
      <c r="Z393" s="61">
        <f t="shared" si="65"/>
        <v>6816</v>
      </c>
      <c r="AA393" s="75">
        <f t="shared" si="65"/>
        <v>8111</v>
      </c>
      <c r="AB393" s="151"/>
      <c r="AC393" s="153"/>
      <c r="AD393" s="151"/>
      <c r="AE393" s="153"/>
      <c r="AF393" s="151"/>
      <c r="AG393" s="153"/>
      <c r="AH393" s="151"/>
      <c r="AI393" s="153"/>
      <c r="AJ393" s="151"/>
      <c r="AK393" s="153"/>
      <c r="AL393" s="151"/>
      <c r="AM393" s="153"/>
      <c r="AN393" s="151"/>
      <c r="AO393" s="153"/>
      <c r="AP393" s="61">
        <f t="shared" si="66"/>
        <v>6816</v>
      </c>
      <c r="AQ393" s="75">
        <f t="shared" si="66"/>
        <v>8111</v>
      </c>
      <c r="AR393" s="150" t="s">
        <v>80</v>
      </c>
      <c r="AS393" s="21">
        <f t="shared" ref="AS393:AS423" si="67">$AQ393-$AP393</f>
        <v>1295</v>
      </c>
      <c r="AT393" s="21">
        <f t="shared" ref="AT393:AT455" si="68">$E393-$D393</f>
        <v>0</v>
      </c>
      <c r="AU393" s="21">
        <f t="shared" ref="AU393:AU455" si="69">AQ393-E393-AP393+D393</f>
        <v>1295</v>
      </c>
    </row>
    <row r="394" spans="1:47" x14ac:dyDescent="0.25">
      <c r="A394" s="4" t="s">
        <v>271</v>
      </c>
      <c r="B394" s="4" t="s">
        <v>105</v>
      </c>
      <c r="C394" s="5"/>
      <c r="D394" s="151">
        <v>72262</v>
      </c>
      <c r="E394" s="153">
        <f>64376+309</f>
        <v>64685</v>
      </c>
      <c r="F394" s="151"/>
      <c r="G394" s="153"/>
      <c r="H394" s="151"/>
      <c r="I394" s="153"/>
      <c r="J394" s="151"/>
      <c r="K394" s="153"/>
      <c r="L394" s="151"/>
      <c r="M394" s="153"/>
      <c r="N394" s="151"/>
      <c r="O394" s="153"/>
      <c r="P394" s="151"/>
      <c r="Q394" s="153"/>
      <c r="R394" s="151"/>
      <c r="S394" s="153"/>
      <c r="T394" s="151"/>
      <c r="U394" s="153"/>
      <c r="V394" s="151"/>
      <c r="W394" s="153"/>
      <c r="X394" s="151"/>
      <c r="Y394" s="153"/>
      <c r="Z394" s="61">
        <f t="shared" si="65"/>
        <v>72262</v>
      </c>
      <c r="AA394" s="75">
        <f t="shared" si="65"/>
        <v>64685</v>
      </c>
      <c r="AB394" s="151"/>
      <c r="AC394" s="153"/>
      <c r="AD394" s="151"/>
      <c r="AE394" s="153"/>
      <c r="AF394" s="151"/>
      <c r="AG394" s="153"/>
      <c r="AH394" s="151"/>
      <c r="AI394" s="153"/>
      <c r="AJ394" s="151"/>
      <c r="AK394" s="153"/>
      <c r="AL394" s="151"/>
      <c r="AM394" s="153"/>
      <c r="AN394" s="151"/>
      <c r="AO394" s="153"/>
      <c r="AP394" s="61">
        <f t="shared" si="66"/>
        <v>72262</v>
      </c>
      <c r="AQ394" s="75">
        <f t="shared" si="66"/>
        <v>64685</v>
      </c>
      <c r="AR394" s="150" t="s">
        <v>58</v>
      </c>
      <c r="AS394" s="21">
        <f t="shared" si="67"/>
        <v>-7577</v>
      </c>
      <c r="AT394" s="21">
        <f t="shared" si="68"/>
        <v>-7577</v>
      </c>
      <c r="AU394" s="21">
        <f t="shared" si="69"/>
        <v>0</v>
      </c>
    </row>
    <row r="395" spans="1:47" x14ac:dyDescent="0.25">
      <c r="A395" s="4" t="s">
        <v>271</v>
      </c>
      <c r="B395" s="4" t="s">
        <v>106</v>
      </c>
      <c r="C395" s="5"/>
      <c r="D395" s="151">
        <v>41677</v>
      </c>
      <c r="E395" s="153">
        <f>47265+387</f>
        <v>47652</v>
      </c>
      <c r="F395" s="151"/>
      <c r="G395" s="153"/>
      <c r="H395" s="151"/>
      <c r="I395" s="153"/>
      <c r="J395" s="151"/>
      <c r="K395" s="153"/>
      <c r="L395" s="151"/>
      <c r="M395" s="153"/>
      <c r="N395" s="151"/>
      <c r="O395" s="153"/>
      <c r="P395" s="151"/>
      <c r="Q395" s="153"/>
      <c r="R395" s="151"/>
      <c r="S395" s="153"/>
      <c r="T395" s="151"/>
      <c r="U395" s="153"/>
      <c r="V395" s="151"/>
      <c r="W395" s="153"/>
      <c r="X395" s="151"/>
      <c r="Y395" s="153"/>
      <c r="Z395" s="61">
        <f t="shared" si="65"/>
        <v>41677</v>
      </c>
      <c r="AA395" s="75">
        <f t="shared" si="65"/>
        <v>47652</v>
      </c>
      <c r="AB395" s="151"/>
      <c r="AC395" s="153"/>
      <c r="AD395" s="151"/>
      <c r="AE395" s="153"/>
      <c r="AF395" s="151"/>
      <c r="AG395" s="153"/>
      <c r="AH395" s="151"/>
      <c r="AI395" s="153"/>
      <c r="AJ395" s="151"/>
      <c r="AK395" s="153"/>
      <c r="AL395" s="151"/>
      <c r="AM395" s="153"/>
      <c r="AN395" s="151"/>
      <c r="AO395" s="153"/>
      <c r="AP395" s="61">
        <f t="shared" si="66"/>
        <v>41677</v>
      </c>
      <c r="AQ395" s="75">
        <f t="shared" si="66"/>
        <v>47652</v>
      </c>
      <c r="AR395" s="150" t="s">
        <v>58</v>
      </c>
      <c r="AS395" s="21">
        <f t="shared" si="67"/>
        <v>5975</v>
      </c>
      <c r="AT395" s="21">
        <f t="shared" si="68"/>
        <v>5975</v>
      </c>
      <c r="AU395" s="21">
        <f t="shared" si="69"/>
        <v>0</v>
      </c>
    </row>
    <row r="396" spans="1:47" x14ac:dyDescent="0.25">
      <c r="A396" s="16" t="s">
        <v>331</v>
      </c>
      <c r="B396" s="16" t="s">
        <v>108</v>
      </c>
      <c r="C396" s="17"/>
      <c r="D396" s="18">
        <f t="shared" ref="D396:AQ396" si="70">SUM(D345:D395)</f>
        <v>3993743</v>
      </c>
      <c r="E396" s="18">
        <f t="shared" si="70"/>
        <v>4282330</v>
      </c>
      <c r="F396" s="18">
        <f t="shared" si="70"/>
        <v>19528</v>
      </c>
      <c r="G396" s="18">
        <f t="shared" si="70"/>
        <v>20950</v>
      </c>
      <c r="H396" s="18">
        <f t="shared" si="70"/>
        <v>289250</v>
      </c>
      <c r="I396" s="18">
        <f t="shared" si="70"/>
        <v>285056</v>
      </c>
      <c r="J396" s="18">
        <f t="shared" si="70"/>
        <v>50069</v>
      </c>
      <c r="K396" s="18">
        <f t="shared" si="70"/>
        <v>47610</v>
      </c>
      <c r="L396" s="18">
        <f t="shared" si="70"/>
        <v>195073</v>
      </c>
      <c r="M396" s="18">
        <f t="shared" si="70"/>
        <v>216293</v>
      </c>
      <c r="N396" s="18">
        <f t="shared" si="70"/>
        <v>42504</v>
      </c>
      <c r="O396" s="18">
        <f t="shared" si="70"/>
        <v>39702</v>
      </c>
      <c r="P396" s="18">
        <f t="shared" si="70"/>
        <v>880</v>
      </c>
      <c r="Q396" s="18">
        <f t="shared" si="70"/>
        <v>880</v>
      </c>
      <c r="R396" s="18">
        <f t="shared" si="70"/>
        <v>115420</v>
      </c>
      <c r="S396" s="18">
        <f t="shared" si="70"/>
        <v>109250</v>
      </c>
      <c r="T396" s="18">
        <f t="shared" si="70"/>
        <v>192828</v>
      </c>
      <c r="U396" s="18">
        <f t="shared" si="70"/>
        <v>188017</v>
      </c>
      <c r="V396" s="18">
        <f t="shared" si="70"/>
        <v>14100</v>
      </c>
      <c r="W396" s="18">
        <f t="shared" si="70"/>
        <v>15300</v>
      </c>
      <c r="X396" s="18">
        <f t="shared" si="70"/>
        <v>17361</v>
      </c>
      <c r="Y396" s="18">
        <f t="shared" si="70"/>
        <v>2700</v>
      </c>
      <c r="Z396" s="18">
        <f t="shared" si="70"/>
        <v>4930756</v>
      </c>
      <c r="AA396" s="18">
        <f t="shared" si="70"/>
        <v>5208088</v>
      </c>
      <c r="AB396" s="18">
        <f t="shared" si="70"/>
        <v>7260</v>
      </c>
      <c r="AC396" s="18">
        <f t="shared" si="70"/>
        <v>4805</v>
      </c>
      <c r="AD396" s="18">
        <f t="shared" si="70"/>
        <v>380611</v>
      </c>
      <c r="AE396" s="18">
        <f t="shared" si="70"/>
        <v>335737</v>
      </c>
      <c r="AF396" s="18">
        <f t="shared" si="70"/>
        <v>332289</v>
      </c>
      <c r="AG396" s="18">
        <f t="shared" si="70"/>
        <v>310938</v>
      </c>
      <c r="AH396" s="18">
        <f t="shared" si="70"/>
        <v>16021</v>
      </c>
      <c r="AI396" s="18">
        <f t="shared" si="70"/>
        <v>15104</v>
      </c>
      <c r="AJ396" s="18">
        <f t="shared" si="70"/>
        <v>10000</v>
      </c>
      <c r="AK396" s="18">
        <f t="shared" si="70"/>
        <v>0</v>
      </c>
      <c r="AL396" s="18">
        <f t="shared" si="70"/>
        <v>1301</v>
      </c>
      <c r="AM396" s="18">
        <f t="shared" si="70"/>
        <v>1951</v>
      </c>
      <c r="AN396" s="18">
        <f t="shared" si="70"/>
        <v>0</v>
      </c>
      <c r="AO396" s="18">
        <f t="shared" si="70"/>
        <v>0</v>
      </c>
      <c r="AP396" s="18">
        <f t="shared" si="70"/>
        <v>5678238</v>
      </c>
      <c r="AQ396" s="18">
        <f t="shared" si="70"/>
        <v>5876623</v>
      </c>
      <c r="AR396" s="150"/>
      <c r="AS396" s="156">
        <f t="shared" si="67"/>
        <v>198385</v>
      </c>
      <c r="AT396" s="156">
        <f t="shared" si="68"/>
        <v>288587</v>
      </c>
      <c r="AU396" s="156">
        <f t="shared" si="69"/>
        <v>-90202</v>
      </c>
    </row>
    <row r="397" spans="1:47" x14ac:dyDescent="0.25">
      <c r="A397" s="4" t="s">
        <v>332</v>
      </c>
      <c r="B397" s="4" t="s">
        <v>333</v>
      </c>
      <c r="C397" s="5" t="s">
        <v>57</v>
      </c>
      <c r="D397" s="151">
        <v>1120175</v>
      </c>
      <c r="E397" s="153">
        <v>1220886</v>
      </c>
      <c r="F397" s="151">
        <v>26000</v>
      </c>
      <c r="G397" s="153">
        <v>26000</v>
      </c>
      <c r="H397" s="151">
        <v>12500</v>
      </c>
      <c r="I397" s="153">
        <v>12500</v>
      </c>
      <c r="J397" s="151">
        <v>1500</v>
      </c>
      <c r="K397" s="153">
        <v>1800</v>
      </c>
      <c r="L397" s="151">
        <v>10850</v>
      </c>
      <c r="M397" s="153">
        <v>10850</v>
      </c>
      <c r="N397" s="151">
        <v>4200</v>
      </c>
      <c r="O397" s="153">
        <v>4200</v>
      </c>
      <c r="P397" s="151"/>
      <c r="Q397" s="153"/>
      <c r="R397" s="151">
        <v>2500</v>
      </c>
      <c r="S397" s="153">
        <v>2200</v>
      </c>
      <c r="T397" s="151"/>
      <c r="U397" s="153"/>
      <c r="V397" s="151"/>
      <c r="W397" s="153"/>
      <c r="X397" s="151">
        <v>2000</v>
      </c>
      <c r="Y397" s="153">
        <v>2000</v>
      </c>
      <c r="Z397" s="61">
        <f t="shared" ref="Z397:AA411" si="71">D397+F397+H397+J397+L397+P397+R397+T397+V397+X397+N397</f>
        <v>1179725</v>
      </c>
      <c r="AA397" s="75">
        <f t="shared" si="71"/>
        <v>1280436</v>
      </c>
      <c r="AB397" s="151">
        <v>1500</v>
      </c>
      <c r="AC397" s="153">
        <v>300</v>
      </c>
      <c r="AD397" s="151">
        <v>137060</v>
      </c>
      <c r="AE397" s="153">
        <v>137060</v>
      </c>
      <c r="AF397" s="151">
        <v>39029</v>
      </c>
      <c r="AG397" s="153">
        <v>39029</v>
      </c>
      <c r="AH397" s="151"/>
      <c r="AI397" s="153"/>
      <c r="AJ397" s="151"/>
      <c r="AK397" s="153"/>
      <c r="AL397" s="151"/>
      <c r="AM397" s="153"/>
      <c r="AN397" s="151"/>
      <c r="AO397" s="153"/>
      <c r="AP397" s="61">
        <f t="shared" ref="AP397:AQ427" si="72">Z397+AB397+AD397+AF397+AH397+AJ397+AL397+AN397</f>
        <v>1357314</v>
      </c>
      <c r="AQ397" s="75">
        <f t="shared" si="72"/>
        <v>1456825</v>
      </c>
      <c r="AR397" s="150" t="s">
        <v>58</v>
      </c>
      <c r="AS397" s="21">
        <f t="shared" si="67"/>
        <v>99511</v>
      </c>
      <c r="AT397" s="21">
        <f t="shared" si="68"/>
        <v>100711</v>
      </c>
      <c r="AU397" s="21">
        <f t="shared" si="69"/>
        <v>-1200</v>
      </c>
    </row>
    <row r="398" spans="1:47" x14ac:dyDescent="0.25">
      <c r="A398" s="4" t="s">
        <v>332</v>
      </c>
      <c r="B398" s="4" t="s">
        <v>334</v>
      </c>
      <c r="C398" s="5" t="s">
        <v>57</v>
      </c>
      <c r="D398" s="151">
        <v>111000</v>
      </c>
      <c r="E398" s="153">
        <v>112000</v>
      </c>
      <c r="F398" s="151"/>
      <c r="G398" s="153"/>
      <c r="H398" s="151"/>
      <c r="I398" s="153"/>
      <c r="J398" s="151"/>
      <c r="K398" s="153"/>
      <c r="L398" s="151"/>
      <c r="M398" s="153"/>
      <c r="N398" s="151"/>
      <c r="O398" s="153"/>
      <c r="P398" s="151"/>
      <c r="Q398" s="153"/>
      <c r="R398" s="151">
        <v>3000</v>
      </c>
      <c r="S398" s="153">
        <v>3000</v>
      </c>
      <c r="T398" s="151"/>
      <c r="U398" s="153"/>
      <c r="V398" s="151"/>
      <c r="W398" s="153"/>
      <c r="X398" s="151"/>
      <c r="Y398" s="153"/>
      <c r="Z398" s="61">
        <f t="shared" si="71"/>
        <v>114000</v>
      </c>
      <c r="AA398" s="75">
        <f t="shared" si="71"/>
        <v>115000</v>
      </c>
      <c r="AB398" s="151"/>
      <c r="AC398" s="153"/>
      <c r="AD398" s="151">
        <v>100</v>
      </c>
      <c r="AE398" s="153">
        <v>20</v>
      </c>
      <c r="AF398" s="151">
        <v>100</v>
      </c>
      <c r="AG398" s="153">
        <v>100</v>
      </c>
      <c r="AH398" s="151"/>
      <c r="AI398" s="153"/>
      <c r="AJ398" s="151"/>
      <c r="AK398" s="153"/>
      <c r="AL398" s="151"/>
      <c r="AM398" s="153"/>
      <c r="AN398" s="151"/>
      <c r="AO398" s="153"/>
      <c r="AP398" s="61">
        <f t="shared" si="72"/>
        <v>114200</v>
      </c>
      <c r="AQ398" s="75">
        <f t="shared" si="72"/>
        <v>115120</v>
      </c>
      <c r="AR398" s="150" t="s">
        <v>58</v>
      </c>
      <c r="AS398" s="21">
        <f t="shared" si="67"/>
        <v>920</v>
      </c>
      <c r="AT398" s="21">
        <f t="shared" si="68"/>
        <v>1000</v>
      </c>
      <c r="AU398" s="21">
        <f t="shared" si="69"/>
        <v>-80</v>
      </c>
    </row>
    <row r="399" spans="1:47" x14ac:dyDescent="0.25">
      <c r="A399" s="4" t="s">
        <v>332</v>
      </c>
      <c r="B399" s="4" t="s">
        <v>335</v>
      </c>
      <c r="C399" s="5" t="s">
        <v>57</v>
      </c>
      <c r="D399" s="151"/>
      <c r="E399" s="153"/>
      <c r="F399" s="151">
        <v>430</v>
      </c>
      <c r="G399" s="153">
        <v>250</v>
      </c>
      <c r="H399" s="151"/>
      <c r="I399" s="153"/>
      <c r="J399" s="151"/>
      <c r="K399" s="153"/>
      <c r="L399" s="151"/>
      <c r="M399" s="153"/>
      <c r="N399" s="151"/>
      <c r="O399" s="153"/>
      <c r="P399" s="151"/>
      <c r="Q399" s="153"/>
      <c r="R399" s="151"/>
      <c r="S399" s="153"/>
      <c r="T399" s="151"/>
      <c r="U399" s="153"/>
      <c r="V399" s="151"/>
      <c r="W399" s="153"/>
      <c r="X399" s="151"/>
      <c r="Y399" s="153"/>
      <c r="Z399" s="61">
        <f t="shared" si="71"/>
        <v>430</v>
      </c>
      <c r="AA399" s="75">
        <f t="shared" si="71"/>
        <v>250</v>
      </c>
      <c r="AB399" s="151">
        <v>30</v>
      </c>
      <c r="AC399" s="153">
        <v>10</v>
      </c>
      <c r="AD399" s="151">
        <v>2250</v>
      </c>
      <c r="AE399" s="153">
        <v>1900</v>
      </c>
      <c r="AF399" s="151">
        <v>4500</v>
      </c>
      <c r="AG399" s="153">
        <v>4500</v>
      </c>
      <c r="AH399" s="151"/>
      <c r="AI399" s="153"/>
      <c r="AJ399" s="151"/>
      <c r="AK399" s="153"/>
      <c r="AL399" s="151"/>
      <c r="AM399" s="153"/>
      <c r="AN399" s="151"/>
      <c r="AO399" s="153"/>
      <c r="AP399" s="61">
        <f t="shared" si="72"/>
        <v>7210</v>
      </c>
      <c r="AQ399" s="75">
        <f t="shared" si="72"/>
        <v>6660</v>
      </c>
      <c r="AR399" s="150" t="s">
        <v>58</v>
      </c>
      <c r="AS399" s="21">
        <f t="shared" si="67"/>
        <v>-550</v>
      </c>
      <c r="AT399" s="21">
        <f t="shared" si="68"/>
        <v>0</v>
      </c>
      <c r="AU399" s="21">
        <f t="shared" si="69"/>
        <v>-550</v>
      </c>
    </row>
    <row r="400" spans="1:47" ht="26.25" x14ac:dyDescent="0.25">
      <c r="A400" s="4" t="s">
        <v>332</v>
      </c>
      <c r="B400" s="4" t="s">
        <v>336</v>
      </c>
      <c r="C400" s="5" t="s">
        <v>57</v>
      </c>
      <c r="D400" s="151">
        <v>53000</v>
      </c>
      <c r="E400" s="153">
        <v>56000</v>
      </c>
      <c r="F400" s="151"/>
      <c r="G400" s="153"/>
      <c r="H400" s="151"/>
      <c r="I400" s="153"/>
      <c r="J400" s="151"/>
      <c r="K400" s="153"/>
      <c r="L400" s="151"/>
      <c r="M400" s="153"/>
      <c r="N400" s="151"/>
      <c r="O400" s="153"/>
      <c r="P400" s="151"/>
      <c r="Q400" s="153"/>
      <c r="R400" s="151"/>
      <c r="S400" s="153"/>
      <c r="T400" s="151"/>
      <c r="U400" s="153"/>
      <c r="V400" s="151"/>
      <c r="W400" s="153"/>
      <c r="X400" s="151"/>
      <c r="Y400" s="153"/>
      <c r="Z400" s="61">
        <f t="shared" si="71"/>
        <v>53000</v>
      </c>
      <c r="AA400" s="75">
        <f t="shared" si="71"/>
        <v>56000</v>
      </c>
      <c r="AB400" s="151"/>
      <c r="AC400" s="153"/>
      <c r="AD400" s="151"/>
      <c r="AE400" s="153"/>
      <c r="AF400" s="151"/>
      <c r="AG400" s="153"/>
      <c r="AH400" s="151"/>
      <c r="AI400" s="153"/>
      <c r="AJ400" s="151"/>
      <c r="AK400" s="153"/>
      <c r="AL400" s="151"/>
      <c r="AM400" s="153"/>
      <c r="AN400" s="151"/>
      <c r="AO400" s="153"/>
      <c r="AP400" s="61">
        <f t="shared" si="72"/>
        <v>53000</v>
      </c>
      <c r="AQ400" s="75">
        <f t="shared" si="72"/>
        <v>56000</v>
      </c>
      <c r="AR400" s="150" t="s">
        <v>58</v>
      </c>
      <c r="AS400" s="21">
        <f t="shared" si="67"/>
        <v>3000</v>
      </c>
      <c r="AT400" s="21">
        <f t="shared" si="68"/>
        <v>3000</v>
      </c>
      <c r="AU400" s="21">
        <f t="shared" si="69"/>
        <v>0</v>
      </c>
    </row>
    <row r="401" spans="1:47" x14ac:dyDescent="0.25">
      <c r="A401" s="4" t="s">
        <v>332</v>
      </c>
      <c r="B401" s="4" t="s">
        <v>337</v>
      </c>
      <c r="C401" s="5" t="s">
        <v>57</v>
      </c>
      <c r="D401" s="151">
        <v>310</v>
      </c>
      <c r="E401" s="153">
        <v>310</v>
      </c>
      <c r="F401" s="151"/>
      <c r="G401" s="153"/>
      <c r="H401" s="151"/>
      <c r="I401" s="153"/>
      <c r="J401" s="151"/>
      <c r="K401" s="153"/>
      <c r="L401" s="151"/>
      <c r="M401" s="153"/>
      <c r="N401" s="151"/>
      <c r="O401" s="153"/>
      <c r="P401" s="151"/>
      <c r="Q401" s="153"/>
      <c r="R401" s="151"/>
      <c r="S401" s="153"/>
      <c r="T401" s="151"/>
      <c r="U401" s="153"/>
      <c r="V401" s="151"/>
      <c r="W401" s="153"/>
      <c r="X401" s="151"/>
      <c r="Y401" s="153"/>
      <c r="Z401" s="61">
        <f t="shared" si="71"/>
        <v>310</v>
      </c>
      <c r="AA401" s="75">
        <f t="shared" si="71"/>
        <v>310</v>
      </c>
      <c r="AB401" s="151">
        <v>2000</v>
      </c>
      <c r="AC401" s="153">
        <v>1500</v>
      </c>
      <c r="AD401" s="151">
        <v>8100</v>
      </c>
      <c r="AE401" s="153">
        <v>5000</v>
      </c>
      <c r="AF401" s="151">
        <v>4590</v>
      </c>
      <c r="AG401" s="153">
        <v>2000</v>
      </c>
      <c r="AH401" s="151"/>
      <c r="AI401" s="153"/>
      <c r="AJ401" s="151"/>
      <c r="AK401" s="153"/>
      <c r="AL401" s="151"/>
      <c r="AM401" s="153"/>
      <c r="AN401" s="151"/>
      <c r="AO401" s="153"/>
      <c r="AP401" s="61">
        <f t="shared" si="72"/>
        <v>15000</v>
      </c>
      <c r="AQ401" s="75">
        <f t="shared" si="72"/>
        <v>8810</v>
      </c>
      <c r="AR401" s="150" t="s">
        <v>58</v>
      </c>
      <c r="AS401" s="21">
        <f t="shared" si="67"/>
        <v>-6190</v>
      </c>
      <c r="AT401" s="21">
        <f t="shared" si="68"/>
        <v>0</v>
      </c>
      <c r="AU401" s="21">
        <f t="shared" si="69"/>
        <v>-6190</v>
      </c>
    </row>
    <row r="402" spans="1:47" x14ac:dyDescent="0.25">
      <c r="A402" s="4" t="s">
        <v>332</v>
      </c>
      <c r="B402" s="4" t="s">
        <v>338</v>
      </c>
      <c r="C402" s="5" t="s">
        <v>57</v>
      </c>
      <c r="D402" s="151"/>
      <c r="E402" s="153"/>
      <c r="F402" s="151"/>
      <c r="G402" s="153"/>
      <c r="H402" s="151"/>
      <c r="I402" s="153"/>
      <c r="J402" s="151"/>
      <c r="K402" s="153"/>
      <c r="L402" s="151"/>
      <c r="M402" s="153"/>
      <c r="N402" s="151"/>
      <c r="O402" s="153"/>
      <c r="P402" s="151"/>
      <c r="Q402" s="153"/>
      <c r="R402" s="151"/>
      <c r="S402" s="153"/>
      <c r="T402" s="151"/>
      <c r="U402" s="153"/>
      <c r="V402" s="151"/>
      <c r="W402" s="153"/>
      <c r="X402" s="151"/>
      <c r="Y402" s="153"/>
      <c r="Z402" s="61">
        <f t="shared" si="71"/>
        <v>0</v>
      </c>
      <c r="AA402" s="75">
        <f t="shared" si="71"/>
        <v>0</v>
      </c>
      <c r="AB402" s="151"/>
      <c r="AC402" s="153"/>
      <c r="AD402" s="151">
        <v>25238</v>
      </c>
      <c r="AE402" s="153">
        <f>3000+9000</f>
        <v>12000</v>
      </c>
      <c r="AF402" s="151">
        <v>26000</v>
      </c>
      <c r="AG402" s="153">
        <f>14500</f>
        <v>14500</v>
      </c>
      <c r="AH402" s="151"/>
      <c r="AI402" s="153"/>
      <c r="AJ402" s="151"/>
      <c r="AK402" s="153"/>
      <c r="AL402" s="151"/>
      <c r="AM402" s="153"/>
      <c r="AN402" s="151"/>
      <c r="AO402" s="153"/>
      <c r="AP402" s="61">
        <f t="shared" si="72"/>
        <v>51238</v>
      </c>
      <c r="AQ402" s="75">
        <f t="shared" si="72"/>
        <v>26500</v>
      </c>
      <c r="AR402" s="150" t="s">
        <v>58</v>
      </c>
      <c r="AS402" s="21">
        <f t="shared" si="67"/>
        <v>-24738</v>
      </c>
      <c r="AT402" s="21">
        <f t="shared" si="68"/>
        <v>0</v>
      </c>
      <c r="AU402" s="21">
        <f t="shared" si="69"/>
        <v>-24738</v>
      </c>
    </row>
    <row r="403" spans="1:47" ht="26.25" x14ac:dyDescent="0.25">
      <c r="A403" s="4" t="s">
        <v>332</v>
      </c>
      <c r="B403" s="4" t="s">
        <v>339</v>
      </c>
      <c r="C403" s="5" t="s">
        <v>57</v>
      </c>
      <c r="D403" s="151"/>
      <c r="E403" s="153"/>
      <c r="F403" s="151"/>
      <c r="G403" s="153"/>
      <c r="H403" s="151"/>
      <c r="I403" s="153"/>
      <c r="J403" s="151"/>
      <c r="K403" s="153"/>
      <c r="L403" s="151"/>
      <c r="M403" s="153"/>
      <c r="N403" s="151"/>
      <c r="O403" s="153"/>
      <c r="P403" s="151"/>
      <c r="Q403" s="153"/>
      <c r="R403" s="151"/>
      <c r="S403" s="153"/>
      <c r="T403" s="151"/>
      <c r="U403" s="153"/>
      <c r="V403" s="151"/>
      <c r="W403" s="153"/>
      <c r="X403" s="151"/>
      <c r="Y403" s="153"/>
      <c r="Z403" s="61">
        <f t="shared" si="71"/>
        <v>0</v>
      </c>
      <c r="AA403" s="75">
        <f t="shared" si="71"/>
        <v>0</v>
      </c>
      <c r="AB403" s="151"/>
      <c r="AC403" s="153"/>
      <c r="AD403" s="151">
        <v>57000</v>
      </c>
      <c r="AE403" s="153">
        <f>44000+28500</f>
        <v>72500</v>
      </c>
      <c r="AF403" s="151"/>
      <c r="AG403" s="153"/>
      <c r="AH403" s="151"/>
      <c r="AI403" s="153"/>
      <c r="AJ403" s="151"/>
      <c r="AK403" s="153"/>
      <c r="AL403" s="151"/>
      <c r="AM403" s="153"/>
      <c r="AN403" s="151"/>
      <c r="AO403" s="153"/>
      <c r="AP403" s="61">
        <f t="shared" si="72"/>
        <v>57000</v>
      </c>
      <c r="AQ403" s="75">
        <f t="shared" si="72"/>
        <v>72500</v>
      </c>
      <c r="AR403" s="150" t="s">
        <v>340</v>
      </c>
      <c r="AS403" s="21">
        <f t="shared" si="67"/>
        <v>15500</v>
      </c>
      <c r="AT403" s="21">
        <f t="shared" si="68"/>
        <v>0</v>
      </c>
      <c r="AU403" s="21">
        <f t="shared" si="69"/>
        <v>15500</v>
      </c>
    </row>
    <row r="404" spans="1:47" x14ac:dyDescent="0.25">
      <c r="A404" s="4" t="s">
        <v>332</v>
      </c>
      <c r="B404" s="4" t="s">
        <v>341</v>
      </c>
      <c r="C404" s="5" t="s">
        <v>57</v>
      </c>
      <c r="D404" s="151"/>
      <c r="E404" s="153"/>
      <c r="F404" s="151"/>
      <c r="G404" s="153"/>
      <c r="H404" s="151"/>
      <c r="I404" s="153"/>
      <c r="J404" s="151"/>
      <c r="K404" s="153"/>
      <c r="L404" s="151"/>
      <c r="M404" s="153"/>
      <c r="N404" s="151"/>
      <c r="O404" s="153"/>
      <c r="P404" s="151"/>
      <c r="Q404" s="153"/>
      <c r="R404" s="151"/>
      <c r="S404" s="153"/>
      <c r="T404" s="151"/>
      <c r="U404" s="153"/>
      <c r="V404" s="151"/>
      <c r="W404" s="153"/>
      <c r="X404" s="151"/>
      <c r="Y404" s="153"/>
      <c r="Z404" s="61">
        <f t="shared" si="71"/>
        <v>0</v>
      </c>
      <c r="AA404" s="75">
        <f t="shared" si="71"/>
        <v>0</v>
      </c>
      <c r="AB404" s="151"/>
      <c r="AC404" s="153"/>
      <c r="AD404" s="151">
        <v>105078</v>
      </c>
      <c r="AE404" s="153">
        <f>80000+7400+2500+2981+8000+986+2460+750+30000-8189</f>
        <v>126888</v>
      </c>
      <c r="AF404" s="151">
        <v>25810</v>
      </c>
      <c r="AG404" s="153">
        <f>2500+1500</f>
        <v>4000</v>
      </c>
      <c r="AH404" s="151"/>
      <c r="AI404" s="153"/>
      <c r="AJ404" s="151"/>
      <c r="AK404" s="153"/>
      <c r="AL404" s="151"/>
      <c r="AM404" s="153"/>
      <c r="AN404" s="151"/>
      <c r="AO404" s="153"/>
      <c r="AP404" s="61">
        <f t="shared" si="72"/>
        <v>130888</v>
      </c>
      <c r="AQ404" s="75">
        <f t="shared" si="72"/>
        <v>130888</v>
      </c>
      <c r="AR404" s="150" t="s">
        <v>342</v>
      </c>
      <c r="AS404" s="21">
        <f t="shared" si="67"/>
        <v>0</v>
      </c>
      <c r="AT404" s="21">
        <f t="shared" si="68"/>
        <v>0</v>
      </c>
      <c r="AU404" s="21">
        <f t="shared" si="69"/>
        <v>0</v>
      </c>
    </row>
    <row r="405" spans="1:47" x14ac:dyDescent="0.25">
      <c r="A405" s="4" t="s">
        <v>332</v>
      </c>
      <c r="B405" s="44" t="s">
        <v>343</v>
      </c>
      <c r="C405" s="68" t="s">
        <v>57</v>
      </c>
      <c r="D405" s="151"/>
      <c r="E405" s="153">
        <v>72282</v>
      </c>
      <c r="F405" s="151"/>
      <c r="G405" s="153"/>
      <c r="H405" s="151"/>
      <c r="I405" s="153"/>
      <c r="J405" s="151"/>
      <c r="K405" s="153"/>
      <c r="L405" s="151"/>
      <c r="M405" s="153"/>
      <c r="N405" s="151"/>
      <c r="O405" s="153"/>
      <c r="P405" s="151"/>
      <c r="Q405" s="153"/>
      <c r="R405" s="151"/>
      <c r="S405" s="153">
        <v>2280</v>
      </c>
      <c r="T405" s="151"/>
      <c r="U405" s="153">
        <v>1488</v>
      </c>
      <c r="V405" s="151"/>
      <c r="W405" s="153"/>
      <c r="X405" s="151"/>
      <c r="Y405" s="153"/>
      <c r="Z405" s="61">
        <f t="shared" si="71"/>
        <v>0</v>
      </c>
      <c r="AA405" s="75">
        <f t="shared" si="71"/>
        <v>76050</v>
      </c>
      <c r="AB405" s="151"/>
      <c r="AC405" s="153"/>
      <c r="AD405" s="151"/>
      <c r="AE405" s="153">
        <v>1000</v>
      </c>
      <c r="AF405" s="151"/>
      <c r="AG405" s="153">
        <v>3900</v>
      </c>
      <c r="AH405" s="151"/>
      <c r="AI405" s="153"/>
      <c r="AJ405" s="151"/>
      <c r="AK405" s="153"/>
      <c r="AL405" s="151"/>
      <c r="AM405" s="153"/>
      <c r="AN405" s="151"/>
      <c r="AO405" s="153"/>
      <c r="AP405" s="61">
        <f t="shared" si="72"/>
        <v>0</v>
      </c>
      <c r="AQ405" s="75">
        <f t="shared" si="72"/>
        <v>80950</v>
      </c>
      <c r="AR405" s="150"/>
      <c r="AS405" s="21">
        <f t="shared" si="67"/>
        <v>80950</v>
      </c>
      <c r="AT405" s="21">
        <f t="shared" si="68"/>
        <v>72282</v>
      </c>
      <c r="AU405" s="21">
        <f t="shared" si="69"/>
        <v>8668</v>
      </c>
    </row>
    <row r="406" spans="1:47" ht="26.25" x14ac:dyDescent="0.25">
      <c r="A406" s="4" t="s">
        <v>332</v>
      </c>
      <c r="B406" s="4" t="s">
        <v>344</v>
      </c>
      <c r="C406" s="5" t="s">
        <v>60</v>
      </c>
      <c r="D406" s="151"/>
      <c r="E406" s="153"/>
      <c r="F406" s="151"/>
      <c r="G406" s="153"/>
      <c r="H406" s="151"/>
      <c r="I406" s="153"/>
      <c r="J406" s="151"/>
      <c r="K406" s="153"/>
      <c r="L406" s="151"/>
      <c r="M406" s="153"/>
      <c r="N406" s="151"/>
      <c r="O406" s="153"/>
      <c r="P406" s="151"/>
      <c r="Q406" s="153"/>
      <c r="R406" s="151"/>
      <c r="S406" s="153"/>
      <c r="T406" s="151"/>
      <c r="U406" s="153"/>
      <c r="V406" s="151"/>
      <c r="W406" s="153"/>
      <c r="X406" s="151"/>
      <c r="Y406" s="153"/>
      <c r="Z406" s="61">
        <f t="shared" si="71"/>
        <v>0</v>
      </c>
      <c r="AA406" s="75">
        <f t="shared" si="71"/>
        <v>0</v>
      </c>
      <c r="AB406" s="151"/>
      <c r="AC406" s="153"/>
      <c r="AD406" s="151">
        <v>16600</v>
      </c>
      <c r="AE406" s="153">
        <f>1800+1800+7000+6000</f>
        <v>16600</v>
      </c>
      <c r="AF406" s="151"/>
      <c r="AG406" s="153"/>
      <c r="AH406" s="151"/>
      <c r="AI406" s="153"/>
      <c r="AJ406" s="151"/>
      <c r="AK406" s="153"/>
      <c r="AL406" s="151"/>
      <c r="AM406" s="153"/>
      <c r="AN406" s="151"/>
      <c r="AO406" s="153"/>
      <c r="AP406" s="61">
        <f t="shared" si="72"/>
        <v>16600</v>
      </c>
      <c r="AQ406" s="75">
        <f t="shared" si="72"/>
        <v>16600</v>
      </c>
      <c r="AR406" s="150" t="s">
        <v>342</v>
      </c>
      <c r="AS406" s="21">
        <f t="shared" si="67"/>
        <v>0</v>
      </c>
      <c r="AT406" s="21">
        <f t="shared" si="68"/>
        <v>0</v>
      </c>
      <c r="AU406" s="21">
        <f t="shared" si="69"/>
        <v>0</v>
      </c>
    </row>
    <row r="407" spans="1:47" x14ac:dyDescent="0.25">
      <c r="A407" s="4" t="s">
        <v>332</v>
      </c>
      <c r="B407" s="4" t="s">
        <v>98</v>
      </c>
      <c r="C407" s="5" t="s">
        <v>99</v>
      </c>
      <c r="D407" s="151">
        <v>178109</v>
      </c>
      <c r="E407" s="153">
        <v>177599</v>
      </c>
      <c r="F407" s="151">
        <v>800</v>
      </c>
      <c r="G407" s="153">
        <v>600</v>
      </c>
      <c r="H407" s="151"/>
      <c r="I407" s="153"/>
      <c r="J407" s="151"/>
      <c r="K407" s="153"/>
      <c r="L407" s="151"/>
      <c r="M407" s="153"/>
      <c r="N407" s="151"/>
      <c r="O407" s="153"/>
      <c r="P407" s="151"/>
      <c r="Q407" s="153"/>
      <c r="R407" s="151">
        <v>1300</v>
      </c>
      <c r="S407" s="153">
        <v>1000</v>
      </c>
      <c r="T407" s="151"/>
      <c r="U407" s="153"/>
      <c r="V407" s="151"/>
      <c r="W407" s="153"/>
      <c r="X407" s="151"/>
      <c r="Y407" s="153"/>
      <c r="Z407" s="61">
        <f t="shared" si="71"/>
        <v>180209</v>
      </c>
      <c r="AA407" s="75">
        <f t="shared" si="71"/>
        <v>179199</v>
      </c>
      <c r="AB407" s="151">
        <v>300</v>
      </c>
      <c r="AC407" s="153">
        <v>50</v>
      </c>
      <c r="AD407" s="151">
        <v>2000</v>
      </c>
      <c r="AE407" s="153">
        <v>11000</v>
      </c>
      <c r="AF407" s="151">
        <v>2300</v>
      </c>
      <c r="AG407" s="153">
        <v>2000</v>
      </c>
      <c r="AH407" s="151"/>
      <c r="AI407" s="153"/>
      <c r="AJ407" s="151"/>
      <c r="AK407" s="153"/>
      <c r="AL407" s="151"/>
      <c r="AM407" s="153"/>
      <c r="AN407" s="151"/>
      <c r="AO407" s="153"/>
      <c r="AP407" s="61">
        <f t="shared" si="72"/>
        <v>184809</v>
      </c>
      <c r="AQ407" s="75">
        <f t="shared" si="72"/>
        <v>192249</v>
      </c>
      <c r="AR407" s="150" t="s">
        <v>342</v>
      </c>
      <c r="AS407" s="21">
        <f t="shared" si="67"/>
        <v>7440</v>
      </c>
      <c r="AT407" s="21">
        <f t="shared" si="68"/>
        <v>-510</v>
      </c>
      <c r="AU407" s="21">
        <f t="shared" si="69"/>
        <v>7950</v>
      </c>
    </row>
    <row r="408" spans="1:47" x14ac:dyDescent="0.25">
      <c r="A408" s="4" t="s">
        <v>332</v>
      </c>
      <c r="B408" s="4" t="s">
        <v>345</v>
      </c>
      <c r="C408" s="5" t="s">
        <v>525</v>
      </c>
      <c r="D408" s="151"/>
      <c r="E408" s="153"/>
      <c r="F408" s="151"/>
      <c r="G408" s="153"/>
      <c r="H408" s="151"/>
      <c r="I408" s="153"/>
      <c r="J408" s="151"/>
      <c r="K408" s="153"/>
      <c r="L408" s="151"/>
      <c r="M408" s="153"/>
      <c r="N408" s="151"/>
      <c r="O408" s="153"/>
      <c r="P408" s="151"/>
      <c r="Q408" s="153"/>
      <c r="R408" s="151"/>
      <c r="S408" s="153"/>
      <c r="T408" s="151"/>
      <c r="U408" s="153"/>
      <c r="V408" s="151"/>
      <c r="W408" s="153"/>
      <c r="X408" s="151"/>
      <c r="Y408" s="153"/>
      <c r="Z408" s="61">
        <f t="shared" si="71"/>
        <v>0</v>
      </c>
      <c r="AA408" s="75">
        <f t="shared" si="71"/>
        <v>0</v>
      </c>
      <c r="AB408" s="151"/>
      <c r="AC408" s="153"/>
      <c r="AD408" s="151">
        <v>100</v>
      </c>
      <c r="AE408" s="153">
        <v>50</v>
      </c>
      <c r="AF408" s="151">
        <v>300</v>
      </c>
      <c r="AG408" s="153">
        <v>100</v>
      </c>
      <c r="AH408" s="151"/>
      <c r="AI408" s="153"/>
      <c r="AJ408" s="151"/>
      <c r="AK408" s="153"/>
      <c r="AL408" s="151"/>
      <c r="AM408" s="153"/>
      <c r="AN408" s="151"/>
      <c r="AO408" s="153"/>
      <c r="AP408" s="61">
        <f t="shared" si="72"/>
        <v>400</v>
      </c>
      <c r="AQ408" s="75">
        <f t="shared" si="72"/>
        <v>150</v>
      </c>
      <c r="AR408" s="150" t="s">
        <v>342</v>
      </c>
      <c r="AS408" s="21">
        <f t="shared" si="67"/>
        <v>-250</v>
      </c>
      <c r="AT408" s="21">
        <f t="shared" si="68"/>
        <v>0</v>
      </c>
      <c r="AU408" s="21">
        <f t="shared" si="69"/>
        <v>-250</v>
      </c>
    </row>
    <row r="409" spans="1:47" x14ac:dyDescent="0.25">
      <c r="A409" s="4" t="s">
        <v>332</v>
      </c>
      <c r="B409" s="4" t="s">
        <v>346</v>
      </c>
      <c r="C409" s="5" t="s">
        <v>165</v>
      </c>
      <c r="D409" s="151"/>
      <c r="E409" s="153"/>
      <c r="F409" s="151"/>
      <c r="G409" s="153"/>
      <c r="H409" s="151"/>
      <c r="I409" s="153"/>
      <c r="J409" s="151"/>
      <c r="K409" s="153"/>
      <c r="L409" s="151"/>
      <c r="M409" s="153"/>
      <c r="N409" s="151"/>
      <c r="O409" s="153"/>
      <c r="P409" s="151"/>
      <c r="Q409" s="153"/>
      <c r="R409" s="151"/>
      <c r="S409" s="153"/>
      <c r="T409" s="151"/>
      <c r="U409" s="153"/>
      <c r="V409" s="151"/>
      <c r="W409" s="153"/>
      <c r="X409" s="151"/>
      <c r="Y409" s="153"/>
      <c r="Z409" s="61">
        <f t="shared" si="71"/>
        <v>0</v>
      </c>
      <c r="AA409" s="75">
        <f t="shared" si="71"/>
        <v>0</v>
      </c>
      <c r="AB409" s="151"/>
      <c r="AC409" s="153"/>
      <c r="AD409" s="151"/>
      <c r="AE409" s="153"/>
      <c r="AF409" s="151"/>
      <c r="AG409" s="153"/>
      <c r="AH409" s="151"/>
      <c r="AI409" s="153"/>
      <c r="AJ409" s="151"/>
      <c r="AK409" s="153"/>
      <c r="AL409" s="151"/>
      <c r="AM409" s="153"/>
      <c r="AN409" s="151">
        <v>54000</v>
      </c>
      <c r="AO409" s="153">
        <v>54000</v>
      </c>
      <c r="AP409" s="61">
        <f t="shared" si="72"/>
        <v>54000</v>
      </c>
      <c r="AQ409" s="75">
        <f t="shared" si="72"/>
        <v>54000</v>
      </c>
      <c r="AR409" s="150" t="s">
        <v>342</v>
      </c>
      <c r="AS409" s="21">
        <f t="shared" si="67"/>
        <v>0</v>
      </c>
      <c r="AT409" s="21">
        <f t="shared" si="68"/>
        <v>0</v>
      </c>
      <c r="AU409" s="21">
        <f t="shared" si="69"/>
        <v>0</v>
      </c>
    </row>
    <row r="410" spans="1:47" ht="41.25" customHeight="1" x14ac:dyDescent="0.25">
      <c r="A410" s="4" t="s">
        <v>332</v>
      </c>
      <c r="B410" s="4" t="s">
        <v>347</v>
      </c>
      <c r="C410" s="5" t="s">
        <v>220</v>
      </c>
      <c r="D410" s="151"/>
      <c r="E410" s="153"/>
      <c r="F410" s="151"/>
      <c r="G410" s="153"/>
      <c r="H410" s="151"/>
      <c r="I410" s="153"/>
      <c r="J410" s="151"/>
      <c r="K410" s="153"/>
      <c r="L410" s="151"/>
      <c r="M410" s="153"/>
      <c r="N410" s="151"/>
      <c r="O410" s="153"/>
      <c r="P410" s="151"/>
      <c r="Q410" s="153"/>
      <c r="R410" s="151"/>
      <c r="S410" s="153"/>
      <c r="T410" s="151"/>
      <c r="U410" s="153"/>
      <c r="V410" s="151"/>
      <c r="W410" s="153"/>
      <c r="X410" s="151"/>
      <c r="Y410" s="153"/>
      <c r="Z410" s="61">
        <f t="shared" si="71"/>
        <v>0</v>
      </c>
      <c r="AA410" s="75">
        <f t="shared" si="71"/>
        <v>0</v>
      </c>
      <c r="AB410" s="151"/>
      <c r="AC410" s="153"/>
      <c r="AD410" s="151">
        <v>60000</v>
      </c>
      <c r="AE410" s="153">
        <v>60000</v>
      </c>
      <c r="AF410" s="151"/>
      <c r="AG410" s="153"/>
      <c r="AH410" s="151"/>
      <c r="AI410" s="153"/>
      <c r="AJ410" s="151"/>
      <c r="AK410" s="153"/>
      <c r="AL410" s="151"/>
      <c r="AM410" s="153"/>
      <c r="AN410" s="151"/>
      <c r="AO410" s="153"/>
      <c r="AP410" s="61">
        <f t="shared" si="72"/>
        <v>60000</v>
      </c>
      <c r="AQ410" s="75">
        <f t="shared" si="72"/>
        <v>60000</v>
      </c>
      <c r="AR410" s="150" t="s">
        <v>314</v>
      </c>
      <c r="AS410" s="21">
        <f t="shared" si="67"/>
        <v>0</v>
      </c>
      <c r="AT410" s="21">
        <f t="shared" si="68"/>
        <v>0</v>
      </c>
      <c r="AU410" s="21">
        <f t="shared" si="69"/>
        <v>0</v>
      </c>
    </row>
    <row r="411" spans="1:47" x14ac:dyDescent="0.25">
      <c r="A411" s="4" t="s">
        <v>332</v>
      </c>
      <c r="B411" s="4" t="s">
        <v>348</v>
      </c>
      <c r="C411" s="5" t="s">
        <v>70</v>
      </c>
      <c r="D411" s="151">
        <v>9112</v>
      </c>
      <c r="E411" s="153">
        <f>5104+2332</f>
        <v>7436</v>
      </c>
      <c r="F411" s="151"/>
      <c r="G411" s="153"/>
      <c r="H411" s="151"/>
      <c r="I411" s="153"/>
      <c r="J411" s="151"/>
      <c r="K411" s="153"/>
      <c r="L411" s="151"/>
      <c r="M411" s="153"/>
      <c r="N411" s="151"/>
      <c r="O411" s="153"/>
      <c r="P411" s="151"/>
      <c r="Q411" s="153"/>
      <c r="R411" s="151"/>
      <c r="S411" s="153"/>
      <c r="T411" s="151"/>
      <c r="U411" s="153"/>
      <c r="V411" s="151"/>
      <c r="W411" s="153"/>
      <c r="X411" s="151"/>
      <c r="Y411" s="153"/>
      <c r="Z411" s="61">
        <f t="shared" si="71"/>
        <v>9112</v>
      </c>
      <c r="AA411" s="75">
        <f t="shared" si="71"/>
        <v>7436</v>
      </c>
      <c r="AB411" s="151">
        <v>2560</v>
      </c>
      <c r="AC411" s="153">
        <v>300</v>
      </c>
      <c r="AD411" s="151">
        <v>36780</v>
      </c>
      <c r="AE411" s="153">
        <v>33200</v>
      </c>
      <c r="AF411" s="151">
        <v>35264</v>
      </c>
      <c r="AG411" s="153">
        <v>34154</v>
      </c>
      <c r="AH411" s="151"/>
      <c r="AI411" s="153"/>
      <c r="AJ411" s="151">
        <v>2200</v>
      </c>
      <c r="AK411" s="153">
        <v>2200</v>
      </c>
      <c r="AL411" s="151">
        <v>101022</v>
      </c>
      <c r="AM411" s="153">
        <v>98940</v>
      </c>
      <c r="AN411" s="151"/>
      <c r="AO411" s="153"/>
      <c r="AP411" s="61">
        <f t="shared" si="72"/>
        <v>186938</v>
      </c>
      <c r="AQ411" s="75">
        <f t="shared" si="72"/>
        <v>176230</v>
      </c>
      <c r="AR411" s="150" t="s">
        <v>71</v>
      </c>
      <c r="AS411" s="21">
        <f t="shared" si="67"/>
        <v>-10708</v>
      </c>
      <c r="AT411" s="21">
        <f t="shared" si="68"/>
        <v>-1676</v>
      </c>
      <c r="AU411" s="21">
        <f t="shared" si="69"/>
        <v>-9032</v>
      </c>
    </row>
    <row r="412" spans="1:47" x14ac:dyDescent="0.25">
      <c r="A412" s="4" t="s">
        <v>332</v>
      </c>
      <c r="B412" s="4" t="s">
        <v>349</v>
      </c>
      <c r="C412" s="5" t="s">
        <v>73</v>
      </c>
      <c r="D412" s="151">
        <v>3100</v>
      </c>
      <c r="E412" s="153">
        <v>0</v>
      </c>
      <c r="F412" s="151"/>
      <c r="G412" s="153"/>
      <c r="H412" s="151"/>
      <c r="I412" s="153"/>
      <c r="J412" s="151"/>
      <c r="K412" s="153"/>
      <c r="L412" s="151"/>
      <c r="M412" s="153"/>
      <c r="N412" s="151"/>
      <c r="O412" s="153"/>
      <c r="P412" s="151"/>
      <c r="Q412" s="153"/>
      <c r="R412" s="151"/>
      <c r="S412" s="153"/>
      <c r="T412" s="151"/>
      <c r="U412" s="153"/>
      <c r="V412" s="151"/>
      <c r="W412" s="153"/>
      <c r="X412" s="151"/>
      <c r="Y412" s="153"/>
      <c r="Z412" s="61">
        <f t="shared" ref="Z412:AA470" si="73">D412+F412+H412+J412+L412+P412+R412+T412+V412+X412+N412</f>
        <v>3100</v>
      </c>
      <c r="AA412" s="75">
        <f t="shared" si="73"/>
        <v>0</v>
      </c>
      <c r="AB412" s="151">
        <v>0</v>
      </c>
      <c r="AC412" s="153"/>
      <c r="AD412" s="151">
        <v>212050</v>
      </c>
      <c r="AE412" s="153">
        <v>167920</v>
      </c>
      <c r="AF412" s="151">
        <v>2150</v>
      </c>
      <c r="AG412" s="153">
        <v>1200</v>
      </c>
      <c r="AH412" s="151"/>
      <c r="AI412" s="153"/>
      <c r="AJ412" s="151">
        <v>3000</v>
      </c>
      <c r="AK412" s="153"/>
      <c r="AL412" s="151">
        <v>24100</v>
      </c>
      <c r="AM412" s="153">
        <v>30400</v>
      </c>
      <c r="AN412" s="151"/>
      <c r="AO412" s="153"/>
      <c r="AP412" s="61">
        <f t="shared" si="72"/>
        <v>244400</v>
      </c>
      <c r="AQ412" s="75">
        <f t="shared" si="72"/>
        <v>199520</v>
      </c>
      <c r="AR412" s="150" t="s">
        <v>74</v>
      </c>
      <c r="AS412" s="21">
        <f t="shared" si="67"/>
        <v>-44880</v>
      </c>
      <c r="AT412" s="21">
        <f t="shared" si="68"/>
        <v>-3100</v>
      </c>
      <c r="AU412" s="21">
        <f t="shared" si="69"/>
        <v>-41780</v>
      </c>
    </row>
    <row r="413" spans="1:47" ht="26.25" x14ac:dyDescent="0.25">
      <c r="A413" s="4" t="s">
        <v>332</v>
      </c>
      <c r="B413" s="4" t="s">
        <v>350</v>
      </c>
      <c r="C413" s="7" t="s">
        <v>79</v>
      </c>
      <c r="D413" s="151"/>
      <c r="E413" s="153"/>
      <c r="F413" s="151"/>
      <c r="G413" s="153"/>
      <c r="H413" s="151"/>
      <c r="I413" s="153"/>
      <c r="J413" s="151"/>
      <c r="K413" s="153"/>
      <c r="L413" s="151"/>
      <c r="M413" s="153"/>
      <c r="N413" s="151"/>
      <c r="O413" s="153"/>
      <c r="P413" s="151"/>
      <c r="Q413" s="153"/>
      <c r="R413" s="151"/>
      <c r="S413" s="153"/>
      <c r="T413" s="151"/>
      <c r="U413" s="153"/>
      <c r="V413" s="151"/>
      <c r="W413" s="153"/>
      <c r="X413" s="151"/>
      <c r="Y413" s="153"/>
      <c r="Z413" s="61">
        <f t="shared" si="73"/>
        <v>0</v>
      </c>
      <c r="AA413" s="75">
        <f t="shared" si="73"/>
        <v>0</v>
      </c>
      <c r="AB413" s="151"/>
      <c r="AC413" s="153"/>
      <c r="AD413" s="151"/>
      <c r="AE413" s="153">
        <v>30000</v>
      </c>
      <c r="AF413" s="151"/>
      <c r="AG413" s="153">
        <f>40600-AE413</f>
        <v>10600</v>
      </c>
      <c r="AH413" s="151"/>
      <c r="AI413" s="153"/>
      <c r="AJ413" s="151"/>
      <c r="AK413" s="153"/>
      <c r="AL413" s="151"/>
      <c r="AM413" s="153"/>
      <c r="AN413" s="151"/>
      <c r="AO413" s="153"/>
      <c r="AP413" s="61">
        <f t="shared" si="72"/>
        <v>0</v>
      </c>
      <c r="AQ413" s="75">
        <f t="shared" si="72"/>
        <v>40600</v>
      </c>
      <c r="AR413" s="150"/>
      <c r="AS413" s="21">
        <f t="shared" si="67"/>
        <v>40600</v>
      </c>
      <c r="AT413" s="21">
        <f t="shared" si="68"/>
        <v>0</v>
      </c>
      <c r="AU413" s="21">
        <f t="shared" si="69"/>
        <v>40600</v>
      </c>
    </row>
    <row r="414" spans="1:47" x14ac:dyDescent="0.25">
      <c r="A414" s="4" t="s">
        <v>332</v>
      </c>
      <c r="B414" s="44" t="s">
        <v>351</v>
      </c>
      <c r="C414" s="5" t="s">
        <v>79</v>
      </c>
      <c r="D414" s="151"/>
      <c r="E414" s="153"/>
      <c r="F414" s="151"/>
      <c r="G414" s="153"/>
      <c r="H414" s="151"/>
      <c r="I414" s="153"/>
      <c r="J414" s="151"/>
      <c r="K414" s="153"/>
      <c r="L414" s="151"/>
      <c r="M414" s="153"/>
      <c r="N414" s="151"/>
      <c r="O414" s="153"/>
      <c r="P414" s="151"/>
      <c r="Q414" s="153"/>
      <c r="R414" s="151"/>
      <c r="S414" s="153"/>
      <c r="T414" s="151"/>
      <c r="U414" s="153"/>
      <c r="V414" s="151"/>
      <c r="W414" s="153"/>
      <c r="X414" s="151"/>
      <c r="Y414" s="153"/>
      <c r="Z414" s="61">
        <f t="shared" si="73"/>
        <v>0</v>
      </c>
      <c r="AA414" s="75">
        <f t="shared" si="73"/>
        <v>0</v>
      </c>
      <c r="AB414" s="151"/>
      <c r="AC414" s="153"/>
      <c r="AD414" s="151">
        <v>59000</v>
      </c>
      <c r="AE414" s="153">
        <v>9000</v>
      </c>
      <c r="AF414" s="151">
        <v>1000</v>
      </c>
      <c r="AG414" s="153">
        <v>1000</v>
      </c>
      <c r="AH414" s="151"/>
      <c r="AI414" s="153"/>
      <c r="AJ414" s="151"/>
      <c r="AK414" s="153"/>
      <c r="AL414" s="151"/>
      <c r="AM414" s="153"/>
      <c r="AN414" s="151"/>
      <c r="AO414" s="153"/>
      <c r="AP414" s="61">
        <f t="shared" si="72"/>
        <v>60000</v>
      </c>
      <c r="AQ414" s="75">
        <f t="shared" si="72"/>
        <v>10000</v>
      </c>
      <c r="AR414" s="150" t="s">
        <v>74</v>
      </c>
      <c r="AS414" s="21">
        <f t="shared" si="67"/>
        <v>-50000</v>
      </c>
      <c r="AT414" s="21">
        <f t="shared" si="68"/>
        <v>0</v>
      </c>
      <c r="AU414" s="21">
        <f t="shared" si="69"/>
        <v>-50000</v>
      </c>
    </row>
    <row r="415" spans="1:47" x14ac:dyDescent="0.25">
      <c r="A415" s="4" t="s">
        <v>332</v>
      </c>
      <c r="B415" s="44" t="s">
        <v>352</v>
      </c>
      <c r="C415" s="5" t="s">
        <v>70</v>
      </c>
      <c r="D415" s="151"/>
      <c r="E415" s="153"/>
      <c r="F415" s="151"/>
      <c r="G415" s="153"/>
      <c r="H415" s="151"/>
      <c r="I415" s="153"/>
      <c r="J415" s="151"/>
      <c r="K415" s="153"/>
      <c r="L415" s="151"/>
      <c r="M415" s="153"/>
      <c r="N415" s="151"/>
      <c r="O415" s="153"/>
      <c r="P415" s="151"/>
      <c r="Q415" s="153"/>
      <c r="R415" s="151"/>
      <c r="S415" s="153"/>
      <c r="T415" s="151"/>
      <c r="U415" s="153"/>
      <c r="V415" s="151"/>
      <c r="W415" s="153"/>
      <c r="X415" s="151"/>
      <c r="Y415" s="153"/>
      <c r="Z415" s="61">
        <f t="shared" si="73"/>
        <v>0</v>
      </c>
      <c r="AA415" s="75">
        <f t="shared" si="73"/>
        <v>0</v>
      </c>
      <c r="AB415" s="151"/>
      <c r="AC415" s="153"/>
      <c r="AD415" s="151"/>
      <c r="AE415" s="153"/>
      <c r="AF415" s="151"/>
      <c r="AG415" s="153"/>
      <c r="AH415" s="151"/>
      <c r="AI415" s="153"/>
      <c r="AJ415" s="151">
        <v>28000</v>
      </c>
      <c r="AK415" s="153"/>
      <c r="AL415" s="151"/>
      <c r="AM415" s="153"/>
      <c r="AN415" s="151"/>
      <c r="AO415" s="153"/>
      <c r="AP415" s="61">
        <f t="shared" si="72"/>
        <v>28000</v>
      </c>
      <c r="AQ415" s="75">
        <f t="shared" si="72"/>
        <v>0</v>
      </c>
      <c r="AR415" s="150" t="s">
        <v>71</v>
      </c>
      <c r="AS415" s="21">
        <f t="shared" si="67"/>
        <v>-28000</v>
      </c>
      <c r="AT415" s="21">
        <f t="shared" si="68"/>
        <v>0</v>
      </c>
      <c r="AU415" s="21">
        <f t="shared" si="69"/>
        <v>-28000</v>
      </c>
    </row>
    <row r="416" spans="1:47" ht="26.25" x14ac:dyDescent="0.25">
      <c r="A416" s="4" t="s">
        <v>332</v>
      </c>
      <c r="B416" s="44" t="s">
        <v>353</v>
      </c>
      <c r="C416" s="5" t="s">
        <v>70</v>
      </c>
      <c r="D416" s="151"/>
      <c r="E416" s="153"/>
      <c r="F416" s="151"/>
      <c r="G416" s="153"/>
      <c r="H416" s="151"/>
      <c r="I416" s="153"/>
      <c r="J416" s="151"/>
      <c r="K416" s="153"/>
      <c r="L416" s="151"/>
      <c r="M416" s="153"/>
      <c r="N416" s="151"/>
      <c r="O416" s="153"/>
      <c r="P416" s="151"/>
      <c r="Q416" s="153"/>
      <c r="R416" s="151"/>
      <c r="S416" s="153"/>
      <c r="T416" s="151"/>
      <c r="U416" s="153"/>
      <c r="V416" s="151"/>
      <c r="W416" s="153"/>
      <c r="X416" s="151"/>
      <c r="Y416" s="153"/>
      <c r="Z416" s="61">
        <f t="shared" si="73"/>
        <v>0</v>
      </c>
      <c r="AA416" s="75">
        <f t="shared" si="73"/>
        <v>0</v>
      </c>
      <c r="AB416" s="151"/>
      <c r="AC416" s="153"/>
      <c r="AD416" s="151"/>
      <c r="AE416" s="153"/>
      <c r="AF416" s="151"/>
      <c r="AG416" s="153"/>
      <c r="AH416" s="151"/>
      <c r="AI416" s="153"/>
      <c r="AJ416" s="151">
        <v>59939</v>
      </c>
      <c r="AK416" s="153"/>
      <c r="AL416" s="151"/>
      <c r="AM416" s="153"/>
      <c r="AN416" s="151"/>
      <c r="AO416" s="153"/>
      <c r="AP416" s="61">
        <f t="shared" si="72"/>
        <v>59939</v>
      </c>
      <c r="AQ416" s="75">
        <f t="shared" si="72"/>
        <v>0</v>
      </c>
      <c r="AR416" s="150" t="s">
        <v>71</v>
      </c>
      <c r="AS416" s="21">
        <f t="shared" si="67"/>
        <v>-59939</v>
      </c>
      <c r="AT416" s="21">
        <f t="shared" si="68"/>
        <v>0</v>
      </c>
      <c r="AU416" s="21">
        <f t="shared" si="69"/>
        <v>-59939</v>
      </c>
    </row>
    <row r="417" spans="1:47" ht="39" x14ac:dyDescent="0.25">
      <c r="A417" s="4" t="s">
        <v>332</v>
      </c>
      <c r="B417" s="4" t="s">
        <v>354</v>
      </c>
      <c r="C417" s="5" t="s">
        <v>311</v>
      </c>
      <c r="D417" s="151"/>
      <c r="E417" s="153"/>
      <c r="F417" s="151"/>
      <c r="G417" s="153"/>
      <c r="H417" s="151"/>
      <c r="I417" s="153"/>
      <c r="J417" s="151"/>
      <c r="K417" s="153"/>
      <c r="L417" s="151"/>
      <c r="M417" s="153"/>
      <c r="N417" s="151"/>
      <c r="O417" s="153"/>
      <c r="P417" s="151"/>
      <c r="Q417" s="153"/>
      <c r="R417" s="151"/>
      <c r="S417" s="153"/>
      <c r="T417" s="151"/>
      <c r="U417" s="153"/>
      <c r="V417" s="151"/>
      <c r="W417" s="153"/>
      <c r="X417" s="151"/>
      <c r="Y417" s="153"/>
      <c r="Z417" s="61">
        <f t="shared" si="73"/>
        <v>0</v>
      </c>
      <c r="AA417" s="75">
        <f t="shared" si="73"/>
        <v>0</v>
      </c>
      <c r="AB417" s="151"/>
      <c r="AC417" s="153"/>
      <c r="AD417" s="151"/>
      <c r="AE417" s="153"/>
      <c r="AF417" s="151"/>
      <c r="AG417" s="153"/>
      <c r="AH417" s="151"/>
      <c r="AI417" s="153"/>
      <c r="AJ417" s="151"/>
      <c r="AK417" s="153"/>
      <c r="AL417" s="151">
        <v>14000</v>
      </c>
      <c r="AM417" s="153">
        <v>14000</v>
      </c>
      <c r="AN417" s="151"/>
      <c r="AO417" s="153"/>
      <c r="AP417" s="61">
        <f t="shared" si="72"/>
        <v>14000</v>
      </c>
      <c r="AQ417" s="75">
        <f t="shared" si="72"/>
        <v>14000</v>
      </c>
      <c r="AR417" s="150" t="s">
        <v>342</v>
      </c>
      <c r="AS417" s="21">
        <f t="shared" si="67"/>
        <v>0</v>
      </c>
      <c r="AT417" s="21">
        <f t="shared" si="68"/>
        <v>0</v>
      </c>
      <c r="AU417" s="21">
        <f t="shared" si="69"/>
        <v>0</v>
      </c>
    </row>
    <row r="418" spans="1:47" ht="26.25" x14ac:dyDescent="0.25">
      <c r="A418" s="4" t="s">
        <v>332</v>
      </c>
      <c r="B418" s="4" t="s">
        <v>355</v>
      </c>
      <c r="C418" s="5" t="s">
        <v>311</v>
      </c>
      <c r="D418" s="151"/>
      <c r="E418" s="153"/>
      <c r="F418" s="151"/>
      <c r="G418" s="153"/>
      <c r="H418" s="151"/>
      <c r="I418" s="153"/>
      <c r="J418" s="151"/>
      <c r="K418" s="153"/>
      <c r="L418" s="151"/>
      <c r="M418" s="153"/>
      <c r="N418" s="151"/>
      <c r="O418" s="153"/>
      <c r="P418" s="151"/>
      <c r="Q418" s="153"/>
      <c r="R418" s="151"/>
      <c r="S418" s="153"/>
      <c r="T418" s="151"/>
      <c r="U418" s="153"/>
      <c r="V418" s="151"/>
      <c r="W418" s="153"/>
      <c r="X418" s="151"/>
      <c r="Y418" s="153"/>
      <c r="Z418" s="61">
        <f t="shared" si="73"/>
        <v>0</v>
      </c>
      <c r="AA418" s="75">
        <f t="shared" si="73"/>
        <v>0</v>
      </c>
      <c r="AB418" s="151"/>
      <c r="AC418" s="153"/>
      <c r="AD418" s="151"/>
      <c r="AE418" s="153"/>
      <c r="AF418" s="151"/>
      <c r="AG418" s="153"/>
      <c r="AH418" s="151"/>
      <c r="AI418" s="153"/>
      <c r="AJ418" s="151"/>
      <c r="AK418" s="153"/>
      <c r="AL418" s="151">
        <f>1500+447+1503+1600+1500+1500+1300</f>
        <v>9350</v>
      </c>
      <c r="AM418" s="153">
        <v>9350</v>
      </c>
      <c r="AN418" s="151"/>
      <c r="AO418" s="153"/>
      <c r="AP418" s="61">
        <f t="shared" si="72"/>
        <v>9350</v>
      </c>
      <c r="AQ418" s="75">
        <f t="shared" si="72"/>
        <v>9350</v>
      </c>
      <c r="AR418" s="150" t="s">
        <v>342</v>
      </c>
      <c r="AS418" s="21">
        <f t="shared" si="67"/>
        <v>0</v>
      </c>
      <c r="AT418" s="21">
        <f t="shared" si="68"/>
        <v>0</v>
      </c>
      <c r="AU418" s="21">
        <f t="shared" si="69"/>
        <v>0</v>
      </c>
    </row>
    <row r="419" spans="1:47" ht="30" x14ac:dyDescent="0.25">
      <c r="A419" s="4" t="s">
        <v>332</v>
      </c>
      <c r="B419" s="4" t="s">
        <v>356</v>
      </c>
      <c r="C419" s="5" t="s">
        <v>311</v>
      </c>
      <c r="D419" s="151"/>
      <c r="E419" s="153"/>
      <c r="F419" s="151"/>
      <c r="G419" s="153"/>
      <c r="H419" s="151"/>
      <c r="I419" s="153"/>
      <c r="J419" s="151"/>
      <c r="K419" s="153"/>
      <c r="L419" s="151"/>
      <c r="M419" s="153"/>
      <c r="N419" s="151"/>
      <c r="O419" s="153"/>
      <c r="P419" s="151"/>
      <c r="Q419" s="153"/>
      <c r="R419" s="151"/>
      <c r="S419" s="153"/>
      <c r="T419" s="151"/>
      <c r="U419" s="153"/>
      <c r="V419" s="151"/>
      <c r="W419" s="153"/>
      <c r="X419" s="151"/>
      <c r="Y419" s="153"/>
      <c r="Z419" s="61">
        <f t="shared" si="73"/>
        <v>0</v>
      </c>
      <c r="AA419" s="75">
        <f t="shared" si="73"/>
        <v>0</v>
      </c>
      <c r="AB419" s="151"/>
      <c r="AC419" s="153"/>
      <c r="AD419" s="151"/>
      <c r="AE419" s="153"/>
      <c r="AF419" s="151"/>
      <c r="AG419" s="153"/>
      <c r="AH419" s="151"/>
      <c r="AI419" s="153"/>
      <c r="AJ419" s="151"/>
      <c r="AK419" s="153"/>
      <c r="AL419" s="151">
        <v>1500</v>
      </c>
      <c r="AM419" s="153">
        <v>1500</v>
      </c>
      <c r="AN419" s="151"/>
      <c r="AO419" s="153"/>
      <c r="AP419" s="61">
        <f t="shared" si="72"/>
        <v>1500</v>
      </c>
      <c r="AQ419" s="75">
        <f t="shared" si="72"/>
        <v>1500</v>
      </c>
      <c r="AR419" s="150" t="s">
        <v>102</v>
      </c>
      <c r="AS419" s="21">
        <f t="shared" si="67"/>
        <v>0</v>
      </c>
      <c r="AT419" s="21">
        <f t="shared" si="68"/>
        <v>0</v>
      </c>
      <c r="AU419" s="21">
        <f t="shared" si="69"/>
        <v>0</v>
      </c>
    </row>
    <row r="420" spans="1:47" ht="26.25" x14ac:dyDescent="0.25">
      <c r="A420" s="4" t="s">
        <v>332</v>
      </c>
      <c r="B420" s="4" t="s">
        <v>357</v>
      </c>
      <c r="C420" s="5" t="s">
        <v>311</v>
      </c>
      <c r="D420" s="151"/>
      <c r="E420" s="153"/>
      <c r="F420" s="151"/>
      <c r="G420" s="153"/>
      <c r="H420" s="151"/>
      <c r="I420" s="153"/>
      <c r="J420" s="151"/>
      <c r="K420" s="153"/>
      <c r="L420" s="151"/>
      <c r="M420" s="153"/>
      <c r="N420" s="151"/>
      <c r="O420" s="153"/>
      <c r="P420" s="151"/>
      <c r="Q420" s="153"/>
      <c r="R420" s="151"/>
      <c r="S420" s="153"/>
      <c r="T420" s="151"/>
      <c r="U420" s="153"/>
      <c r="V420" s="151"/>
      <c r="W420" s="153"/>
      <c r="X420" s="151"/>
      <c r="Y420" s="153"/>
      <c r="Z420" s="61">
        <f t="shared" si="73"/>
        <v>0</v>
      </c>
      <c r="AA420" s="75">
        <f t="shared" si="73"/>
        <v>0</v>
      </c>
      <c r="AB420" s="151"/>
      <c r="AC420" s="153"/>
      <c r="AD420" s="151"/>
      <c r="AE420" s="153"/>
      <c r="AF420" s="151"/>
      <c r="AG420" s="153"/>
      <c r="AH420" s="151"/>
      <c r="AI420" s="153"/>
      <c r="AJ420" s="151"/>
      <c r="AK420" s="153"/>
      <c r="AL420" s="151">
        <v>21704</v>
      </c>
      <c r="AM420" s="153">
        <v>21704</v>
      </c>
      <c r="AN420" s="151"/>
      <c r="AO420" s="153"/>
      <c r="AP420" s="61">
        <f t="shared" si="72"/>
        <v>21704</v>
      </c>
      <c r="AQ420" s="75">
        <f t="shared" si="72"/>
        <v>21704</v>
      </c>
      <c r="AR420" s="150" t="s">
        <v>80</v>
      </c>
      <c r="AS420" s="21">
        <f t="shared" si="67"/>
        <v>0</v>
      </c>
      <c r="AT420" s="21">
        <f t="shared" si="68"/>
        <v>0</v>
      </c>
      <c r="AU420" s="21">
        <f t="shared" si="69"/>
        <v>0</v>
      </c>
    </row>
    <row r="421" spans="1:47" ht="26.25" x14ac:dyDescent="0.25">
      <c r="A421" s="4" t="s">
        <v>332</v>
      </c>
      <c r="B421" s="4" t="s">
        <v>358</v>
      </c>
      <c r="C421" s="5" t="s">
        <v>73</v>
      </c>
      <c r="D421" s="151"/>
      <c r="E421" s="153"/>
      <c r="F421" s="151">
        <v>5823</v>
      </c>
      <c r="G421" s="153">
        <v>5823</v>
      </c>
      <c r="H421" s="151"/>
      <c r="I421" s="153"/>
      <c r="J421" s="151"/>
      <c r="K421" s="153"/>
      <c r="L421" s="151"/>
      <c r="M421" s="153"/>
      <c r="N421" s="151"/>
      <c r="O421" s="153"/>
      <c r="P421" s="151"/>
      <c r="Q421" s="153"/>
      <c r="R421" s="151"/>
      <c r="S421" s="153"/>
      <c r="T421" s="151"/>
      <c r="U421" s="153"/>
      <c r="V421" s="151"/>
      <c r="W421" s="153"/>
      <c r="X421" s="151"/>
      <c r="Y421" s="153"/>
      <c r="Z421" s="61">
        <f t="shared" si="73"/>
        <v>5823</v>
      </c>
      <c r="AA421" s="75">
        <f t="shared" si="73"/>
        <v>5823</v>
      </c>
      <c r="AB421" s="151"/>
      <c r="AC421" s="153"/>
      <c r="AD421" s="151"/>
      <c r="AE421" s="153"/>
      <c r="AF421" s="151"/>
      <c r="AG421" s="153"/>
      <c r="AH421" s="151"/>
      <c r="AI421" s="153"/>
      <c r="AJ421" s="151"/>
      <c r="AK421" s="153"/>
      <c r="AL421" s="151"/>
      <c r="AM421" s="153"/>
      <c r="AN421" s="151"/>
      <c r="AO421" s="153"/>
      <c r="AP421" s="61">
        <f t="shared" si="72"/>
        <v>5823</v>
      </c>
      <c r="AQ421" s="75">
        <f t="shared" si="72"/>
        <v>5823</v>
      </c>
      <c r="AR421" s="150" t="s">
        <v>80</v>
      </c>
      <c r="AS421" s="21">
        <f t="shared" si="67"/>
        <v>0</v>
      </c>
      <c r="AT421" s="21">
        <f t="shared" si="68"/>
        <v>0</v>
      </c>
      <c r="AU421" s="21">
        <f t="shared" si="69"/>
        <v>0</v>
      </c>
    </row>
    <row r="422" spans="1:47" x14ac:dyDescent="0.25">
      <c r="A422" s="4" t="s">
        <v>332</v>
      </c>
      <c r="B422" s="4" t="s">
        <v>359</v>
      </c>
      <c r="C422" s="5" t="s">
        <v>79</v>
      </c>
      <c r="D422" s="151"/>
      <c r="E422" s="153">
        <f>16770+4095</f>
        <v>20865</v>
      </c>
      <c r="F422" s="151"/>
      <c r="G422" s="153"/>
      <c r="H422" s="151"/>
      <c r="I422" s="153"/>
      <c r="J422" s="151"/>
      <c r="K422" s="153"/>
      <c r="L422" s="151"/>
      <c r="M422" s="153"/>
      <c r="N422" s="151"/>
      <c r="O422" s="153"/>
      <c r="P422" s="151"/>
      <c r="Q422" s="153"/>
      <c r="R422" s="151"/>
      <c r="S422" s="153"/>
      <c r="T422" s="151"/>
      <c r="U422" s="153"/>
      <c r="V422" s="151"/>
      <c r="W422" s="153"/>
      <c r="X422" s="151"/>
      <c r="Y422" s="153"/>
      <c r="Z422" s="61">
        <f t="shared" si="73"/>
        <v>0</v>
      </c>
      <c r="AA422" s="75">
        <f t="shared" si="73"/>
        <v>20865</v>
      </c>
      <c r="AB422" s="151"/>
      <c r="AC422" s="153">
        <v>3025</v>
      </c>
      <c r="AD422" s="151">
        <v>64070</v>
      </c>
      <c r="AE422" s="153">
        <v>21074</v>
      </c>
      <c r="AF422" s="151"/>
      <c r="AG422" s="153">
        <v>3386</v>
      </c>
      <c r="AH422" s="151"/>
      <c r="AI422" s="153"/>
      <c r="AJ422" s="151"/>
      <c r="AK422" s="153">
        <v>300</v>
      </c>
      <c r="AL422" s="151"/>
      <c r="AM422" s="153"/>
      <c r="AN422" s="151"/>
      <c r="AO422" s="153"/>
      <c r="AP422" s="61">
        <f t="shared" si="72"/>
        <v>64070</v>
      </c>
      <c r="AQ422" s="75">
        <f t="shared" si="72"/>
        <v>48650</v>
      </c>
      <c r="AR422" s="150" t="s">
        <v>80</v>
      </c>
      <c r="AS422" s="21">
        <f t="shared" si="67"/>
        <v>-15420</v>
      </c>
      <c r="AT422" s="21">
        <f t="shared" si="68"/>
        <v>20865</v>
      </c>
      <c r="AU422" s="21">
        <f t="shared" si="69"/>
        <v>-36285</v>
      </c>
    </row>
    <row r="423" spans="1:47" ht="26.25" x14ac:dyDescent="0.25">
      <c r="A423" s="4" t="s">
        <v>332</v>
      </c>
      <c r="B423" s="4" t="s">
        <v>360</v>
      </c>
      <c r="C423" s="5" t="s">
        <v>79</v>
      </c>
      <c r="D423" s="151"/>
      <c r="E423" s="153"/>
      <c r="F423" s="151"/>
      <c r="G423" s="153"/>
      <c r="H423" s="151"/>
      <c r="I423" s="153"/>
      <c r="J423" s="151"/>
      <c r="K423" s="153"/>
      <c r="L423" s="151"/>
      <c r="M423" s="153"/>
      <c r="N423" s="151"/>
      <c r="O423" s="153"/>
      <c r="P423" s="151"/>
      <c r="Q423" s="153"/>
      <c r="R423" s="151"/>
      <c r="S423" s="153"/>
      <c r="T423" s="151"/>
      <c r="U423" s="153"/>
      <c r="V423" s="151"/>
      <c r="W423" s="153"/>
      <c r="X423" s="151"/>
      <c r="Y423" s="153"/>
      <c r="Z423" s="61">
        <f t="shared" si="73"/>
        <v>0</v>
      </c>
      <c r="AA423" s="75">
        <f t="shared" si="73"/>
        <v>0</v>
      </c>
      <c r="AB423" s="151"/>
      <c r="AC423" s="153"/>
      <c r="AD423" s="151">
        <v>4650</v>
      </c>
      <c r="AE423" s="153">
        <v>4650</v>
      </c>
      <c r="AF423" s="151">
        <v>750</v>
      </c>
      <c r="AG423" s="153">
        <v>850</v>
      </c>
      <c r="AH423" s="151"/>
      <c r="AI423" s="153"/>
      <c r="AJ423" s="151"/>
      <c r="AK423" s="153"/>
      <c r="AL423" s="151"/>
      <c r="AM423" s="153"/>
      <c r="AN423" s="151"/>
      <c r="AO423" s="153"/>
      <c r="AP423" s="61">
        <f t="shared" si="72"/>
        <v>5400</v>
      </c>
      <c r="AQ423" s="75">
        <f t="shared" si="72"/>
        <v>5500</v>
      </c>
      <c r="AR423" s="150" t="s">
        <v>80</v>
      </c>
      <c r="AS423" s="21">
        <f t="shared" si="67"/>
        <v>100</v>
      </c>
      <c r="AT423" s="21">
        <f t="shared" si="68"/>
        <v>0</v>
      </c>
      <c r="AU423" s="21">
        <f t="shared" si="69"/>
        <v>100</v>
      </c>
    </row>
    <row r="424" spans="1:47" x14ac:dyDescent="0.25">
      <c r="A424" s="4" t="s">
        <v>332</v>
      </c>
      <c r="B424" s="4" t="s">
        <v>361</v>
      </c>
      <c r="C424" s="6" t="s">
        <v>79</v>
      </c>
      <c r="D424" s="151"/>
      <c r="E424" s="153"/>
      <c r="F424" s="151"/>
      <c r="G424" s="153"/>
      <c r="H424" s="151"/>
      <c r="I424" s="153"/>
      <c r="J424" s="151"/>
      <c r="K424" s="153"/>
      <c r="L424" s="151"/>
      <c r="M424" s="153"/>
      <c r="N424" s="151"/>
      <c r="O424" s="153"/>
      <c r="P424" s="151"/>
      <c r="Q424" s="153"/>
      <c r="R424" s="151"/>
      <c r="S424" s="153"/>
      <c r="T424" s="151"/>
      <c r="U424" s="153"/>
      <c r="V424" s="151"/>
      <c r="W424" s="153"/>
      <c r="X424" s="151"/>
      <c r="Y424" s="153"/>
      <c r="Z424" s="61">
        <f t="shared" si="73"/>
        <v>0</v>
      </c>
      <c r="AA424" s="75">
        <f t="shared" si="73"/>
        <v>0</v>
      </c>
      <c r="AB424" s="151"/>
      <c r="AC424" s="153"/>
      <c r="AD424" s="151">
        <v>4100</v>
      </c>
      <c r="AE424" s="153">
        <v>5350</v>
      </c>
      <c r="AF424" s="151">
        <v>1250</v>
      </c>
      <c r="AG424" s="153">
        <v>2150</v>
      </c>
      <c r="AH424" s="151"/>
      <c r="AI424" s="153"/>
      <c r="AJ424" s="151"/>
      <c r="AK424" s="153"/>
      <c r="AL424" s="151"/>
      <c r="AM424" s="153"/>
      <c r="AN424" s="151"/>
      <c r="AO424" s="153"/>
      <c r="AP424" s="61">
        <f t="shared" si="72"/>
        <v>5350</v>
      </c>
      <c r="AQ424" s="75">
        <f t="shared" si="72"/>
        <v>7500</v>
      </c>
      <c r="AR424" s="150" t="s">
        <v>80</v>
      </c>
      <c r="AS424" s="21">
        <f t="shared" ref="AS424:AS455" si="74">$AQ424-$AP424</f>
        <v>2150</v>
      </c>
      <c r="AT424" s="21">
        <f t="shared" si="68"/>
        <v>0</v>
      </c>
      <c r="AU424" s="21">
        <f t="shared" si="69"/>
        <v>2150</v>
      </c>
    </row>
    <row r="425" spans="1:47" ht="26.25" x14ac:dyDescent="0.25">
      <c r="A425" s="4" t="s">
        <v>332</v>
      </c>
      <c r="B425" s="4" t="s">
        <v>363</v>
      </c>
      <c r="C425" s="6" t="s">
        <v>86</v>
      </c>
      <c r="D425" s="151"/>
      <c r="E425" s="153"/>
      <c r="F425" s="151"/>
      <c r="G425" s="153"/>
      <c r="H425" s="151"/>
      <c r="I425" s="153"/>
      <c r="J425" s="151"/>
      <c r="K425" s="153"/>
      <c r="L425" s="151"/>
      <c r="M425" s="153"/>
      <c r="N425" s="151"/>
      <c r="O425" s="153"/>
      <c r="P425" s="151"/>
      <c r="Q425" s="153"/>
      <c r="R425" s="151"/>
      <c r="S425" s="153"/>
      <c r="T425" s="151"/>
      <c r="U425" s="153"/>
      <c r="V425" s="151"/>
      <c r="W425" s="153"/>
      <c r="X425" s="151"/>
      <c r="Y425" s="153"/>
      <c r="Z425" s="61">
        <f t="shared" si="73"/>
        <v>0</v>
      </c>
      <c r="AA425" s="75">
        <f t="shared" si="73"/>
        <v>0</v>
      </c>
      <c r="AB425" s="151"/>
      <c r="AC425" s="153"/>
      <c r="AD425" s="151">
        <v>5380</v>
      </c>
      <c r="AE425" s="153">
        <f>4235+880+870</f>
        <v>5985</v>
      </c>
      <c r="AF425" s="151">
        <v>44620</v>
      </c>
      <c r="AG425" s="153">
        <v>30000</v>
      </c>
      <c r="AH425" s="151"/>
      <c r="AI425" s="153">
        <v>20000</v>
      </c>
      <c r="AJ425" s="151"/>
      <c r="AK425" s="153"/>
      <c r="AL425" s="151"/>
      <c r="AM425" s="153"/>
      <c r="AN425" s="151"/>
      <c r="AO425" s="153"/>
      <c r="AP425" s="61">
        <f t="shared" si="72"/>
        <v>50000</v>
      </c>
      <c r="AQ425" s="75">
        <f t="shared" si="72"/>
        <v>55985</v>
      </c>
      <c r="AR425" s="150" t="s">
        <v>80</v>
      </c>
      <c r="AS425" s="21">
        <f t="shared" si="74"/>
        <v>5985</v>
      </c>
      <c r="AT425" s="21">
        <f t="shared" si="68"/>
        <v>0</v>
      </c>
      <c r="AU425" s="21">
        <f t="shared" si="69"/>
        <v>5985</v>
      </c>
    </row>
    <row r="426" spans="1:47" ht="39" x14ac:dyDescent="0.25">
      <c r="A426" s="4" t="s">
        <v>332</v>
      </c>
      <c r="B426" s="4" t="s">
        <v>364</v>
      </c>
      <c r="C426" s="5" t="s">
        <v>79</v>
      </c>
      <c r="D426" s="151"/>
      <c r="E426" s="153"/>
      <c r="F426" s="151"/>
      <c r="G426" s="153"/>
      <c r="H426" s="151"/>
      <c r="I426" s="153"/>
      <c r="J426" s="151"/>
      <c r="K426" s="153"/>
      <c r="L426" s="151"/>
      <c r="M426" s="153"/>
      <c r="N426" s="151"/>
      <c r="O426" s="153"/>
      <c r="P426" s="151"/>
      <c r="Q426" s="153"/>
      <c r="R426" s="151"/>
      <c r="S426" s="153"/>
      <c r="T426" s="151"/>
      <c r="U426" s="153"/>
      <c r="V426" s="151"/>
      <c r="W426" s="153"/>
      <c r="X426" s="151"/>
      <c r="Y426" s="153"/>
      <c r="Z426" s="61">
        <f t="shared" si="73"/>
        <v>0</v>
      </c>
      <c r="AA426" s="75">
        <f t="shared" si="73"/>
        <v>0</v>
      </c>
      <c r="AB426" s="151"/>
      <c r="AC426" s="153"/>
      <c r="AD426" s="151">
        <v>15000</v>
      </c>
      <c r="AE426" s="153">
        <v>10000</v>
      </c>
      <c r="AF426" s="151"/>
      <c r="AG426" s="153"/>
      <c r="AH426" s="151"/>
      <c r="AI426" s="153"/>
      <c r="AJ426" s="151"/>
      <c r="AK426" s="153"/>
      <c r="AL426" s="151"/>
      <c r="AM426" s="153"/>
      <c r="AN426" s="151"/>
      <c r="AO426" s="153"/>
      <c r="AP426" s="61">
        <f t="shared" si="72"/>
        <v>15000</v>
      </c>
      <c r="AQ426" s="75">
        <f t="shared" si="72"/>
        <v>10000</v>
      </c>
      <c r="AR426" s="150" t="s">
        <v>80</v>
      </c>
      <c r="AS426" s="21">
        <f t="shared" si="74"/>
        <v>-5000</v>
      </c>
      <c r="AT426" s="21">
        <f t="shared" si="68"/>
        <v>0</v>
      </c>
      <c r="AU426" s="21">
        <f t="shared" si="69"/>
        <v>-5000</v>
      </c>
    </row>
    <row r="427" spans="1:47" ht="26.25" x14ac:dyDescent="0.25">
      <c r="A427" s="4" t="s">
        <v>332</v>
      </c>
      <c r="B427" s="4" t="s">
        <v>365</v>
      </c>
      <c r="C427" s="5" t="s">
        <v>79</v>
      </c>
      <c r="D427" s="151"/>
      <c r="E427" s="153"/>
      <c r="F427" s="151"/>
      <c r="G427" s="153"/>
      <c r="H427" s="151"/>
      <c r="I427" s="153"/>
      <c r="J427" s="151"/>
      <c r="K427" s="153"/>
      <c r="L427" s="151"/>
      <c r="M427" s="153"/>
      <c r="N427" s="151"/>
      <c r="O427" s="153"/>
      <c r="P427" s="151"/>
      <c r="Q427" s="153"/>
      <c r="R427" s="151"/>
      <c r="S427" s="153"/>
      <c r="T427" s="151"/>
      <c r="U427" s="153"/>
      <c r="V427" s="151"/>
      <c r="W427" s="153"/>
      <c r="X427" s="151"/>
      <c r="Y427" s="153"/>
      <c r="Z427" s="61">
        <f t="shared" si="73"/>
        <v>0</v>
      </c>
      <c r="AA427" s="75">
        <f t="shared" si="73"/>
        <v>0</v>
      </c>
      <c r="AB427" s="151"/>
      <c r="AC427" s="153"/>
      <c r="AD427" s="151">
        <v>17000</v>
      </c>
      <c r="AE427" s="153">
        <v>17000</v>
      </c>
      <c r="AF427" s="151"/>
      <c r="AG427" s="153"/>
      <c r="AH427" s="151"/>
      <c r="AI427" s="153"/>
      <c r="AJ427" s="151"/>
      <c r="AK427" s="153"/>
      <c r="AL427" s="151"/>
      <c r="AM427" s="153"/>
      <c r="AN427" s="151"/>
      <c r="AO427" s="153"/>
      <c r="AP427" s="61">
        <f t="shared" si="72"/>
        <v>17000</v>
      </c>
      <c r="AQ427" s="75">
        <f t="shared" si="72"/>
        <v>17000</v>
      </c>
      <c r="AR427" s="150" t="s">
        <v>80</v>
      </c>
      <c r="AS427" s="21">
        <f t="shared" si="74"/>
        <v>0</v>
      </c>
      <c r="AT427" s="21">
        <f t="shared" si="68"/>
        <v>0</v>
      </c>
      <c r="AU427" s="21">
        <f t="shared" si="69"/>
        <v>0</v>
      </c>
    </row>
    <row r="428" spans="1:47" ht="26.25" x14ac:dyDescent="0.25">
      <c r="A428" s="4" t="s">
        <v>332</v>
      </c>
      <c r="B428" s="4" t="s">
        <v>366</v>
      </c>
      <c r="C428" s="5" t="s">
        <v>96</v>
      </c>
      <c r="D428" s="151"/>
      <c r="E428" s="153"/>
      <c r="F428" s="151"/>
      <c r="G428" s="153"/>
      <c r="H428" s="151"/>
      <c r="I428" s="153"/>
      <c r="J428" s="151"/>
      <c r="K428" s="153"/>
      <c r="L428" s="151"/>
      <c r="M428" s="153"/>
      <c r="N428" s="151"/>
      <c r="O428" s="153"/>
      <c r="P428" s="151"/>
      <c r="Q428" s="153"/>
      <c r="R428" s="151"/>
      <c r="S428" s="153"/>
      <c r="T428" s="151">
        <v>4673</v>
      </c>
      <c r="U428" s="153">
        <v>4673</v>
      </c>
      <c r="V428" s="151"/>
      <c r="W428" s="153"/>
      <c r="X428" s="151"/>
      <c r="Y428" s="153"/>
      <c r="Z428" s="61">
        <f t="shared" si="73"/>
        <v>4673</v>
      </c>
      <c r="AA428" s="75">
        <f t="shared" si="73"/>
        <v>4673</v>
      </c>
      <c r="AB428" s="151"/>
      <c r="AC428" s="153"/>
      <c r="AD428" s="151"/>
      <c r="AE428" s="153"/>
      <c r="AF428" s="151"/>
      <c r="AG428" s="153"/>
      <c r="AH428" s="151"/>
      <c r="AI428" s="153"/>
      <c r="AJ428" s="151"/>
      <c r="AK428" s="153"/>
      <c r="AL428" s="151"/>
      <c r="AM428" s="153"/>
      <c r="AN428" s="151"/>
      <c r="AO428" s="153"/>
      <c r="AP428" s="61">
        <f t="shared" ref="AP428:AQ470" si="75">Z428+AB428+AD428+AF428+AH428+AJ428+AL428+AN428</f>
        <v>4673</v>
      </c>
      <c r="AQ428" s="75">
        <f t="shared" si="75"/>
        <v>4673</v>
      </c>
      <c r="AR428" s="150" t="s">
        <v>367</v>
      </c>
      <c r="AS428" s="21">
        <f t="shared" si="74"/>
        <v>0</v>
      </c>
      <c r="AT428" s="21">
        <f t="shared" si="68"/>
        <v>0</v>
      </c>
      <c r="AU428" s="21">
        <f t="shared" si="69"/>
        <v>0</v>
      </c>
    </row>
    <row r="429" spans="1:47" ht="26.25" x14ac:dyDescent="0.25">
      <c r="A429" s="4" t="s">
        <v>332</v>
      </c>
      <c r="B429" s="4" t="s">
        <v>368</v>
      </c>
      <c r="C429" s="5" t="s">
        <v>96</v>
      </c>
      <c r="D429" s="151"/>
      <c r="E429" s="153"/>
      <c r="F429" s="151"/>
      <c r="G429" s="153"/>
      <c r="H429" s="151"/>
      <c r="I429" s="153"/>
      <c r="J429" s="151"/>
      <c r="K429" s="153"/>
      <c r="L429" s="151"/>
      <c r="M429" s="153"/>
      <c r="N429" s="151"/>
      <c r="O429" s="153"/>
      <c r="P429" s="151"/>
      <c r="Q429" s="153"/>
      <c r="R429" s="151"/>
      <c r="S429" s="153"/>
      <c r="T429" s="151">
        <v>750</v>
      </c>
      <c r="U429" s="153">
        <v>750</v>
      </c>
      <c r="V429" s="151"/>
      <c r="W429" s="153"/>
      <c r="X429" s="151"/>
      <c r="Y429" s="153"/>
      <c r="Z429" s="61">
        <f t="shared" si="73"/>
        <v>750</v>
      </c>
      <c r="AA429" s="75">
        <f t="shared" si="73"/>
        <v>750</v>
      </c>
      <c r="AB429" s="151"/>
      <c r="AC429" s="153"/>
      <c r="AD429" s="151"/>
      <c r="AE429" s="153"/>
      <c r="AF429" s="151"/>
      <c r="AG429" s="153"/>
      <c r="AH429" s="151"/>
      <c r="AI429" s="153"/>
      <c r="AJ429" s="151"/>
      <c r="AK429" s="153"/>
      <c r="AL429" s="151"/>
      <c r="AM429" s="153"/>
      <c r="AN429" s="151"/>
      <c r="AO429" s="153"/>
      <c r="AP429" s="61">
        <f t="shared" si="75"/>
        <v>750</v>
      </c>
      <c r="AQ429" s="75">
        <f t="shared" si="75"/>
        <v>750</v>
      </c>
      <c r="AR429" s="150" t="s">
        <v>369</v>
      </c>
      <c r="AS429" s="21">
        <f t="shared" si="74"/>
        <v>0</v>
      </c>
      <c r="AT429" s="21">
        <f t="shared" si="68"/>
        <v>0</v>
      </c>
      <c r="AU429" s="21">
        <f t="shared" si="69"/>
        <v>0</v>
      </c>
    </row>
    <row r="430" spans="1:47" ht="51.75" x14ac:dyDescent="0.25">
      <c r="A430" s="4" t="s">
        <v>332</v>
      </c>
      <c r="B430" s="4" t="s">
        <v>370</v>
      </c>
      <c r="C430" s="5" t="s">
        <v>96</v>
      </c>
      <c r="D430" s="151"/>
      <c r="E430" s="153"/>
      <c r="F430" s="151"/>
      <c r="G430" s="153"/>
      <c r="H430" s="151"/>
      <c r="I430" s="153"/>
      <c r="J430" s="151"/>
      <c r="K430" s="153"/>
      <c r="L430" s="151"/>
      <c r="M430" s="153"/>
      <c r="N430" s="151"/>
      <c r="O430" s="153"/>
      <c r="P430" s="151"/>
      <c r="Q430" s="153"/>
      <c r="R430" s="151"/>
      <c r="S430" s="153"/>
      <c r="T430" s="151">
        <v>341</v>
      </c>
      <c r="U430" s="153">
        <v>750</v>
      </c>
      <c r="V430" s="151"/>
      <c r="W430" s="153"/>
      <c r="X430" s="151"/>
      <c r="Y430" s="153"/>
      <c r="Z430" s="61">
        <f t="shared" si="73"/>
        <v>341</v>
      </c>
      <c r="AA430" s="75">
        <f t="shared" si="73"/>
        <v>750</v>
      </c>
      <c r="AB430" s="151"/>
      <c r="AC430" s="153"/>
      <c r="AD430" s="151"/>
      <c r="AE430" s="153"/>
      <c r="AF430" s="151"/>
      <c r="AG430" s="153"/>
      <c r="AH430" s="151"/>
      <c r="AI430" s="153"/>
      <c r="AJ430" s="151"/>
      <c r="AK430" s="153"/>
      <c r="AL430" s="151"/>
      <c r="AM430" s="153"/>
      <c r="AN430" s="151"/>
      <c r="AO430" s="153"/>
      <c r="AP430" s="61">
        <f t="shared" si="75"/>
        <v>341</v>
      </c>
      <c r="AQ430" s="75">
        <f t="shared" si="75"/>
        <v>750</v>
      </c>
      <c r="AR430" s="150" t="s">
        <v>371</v>
      </c>
      <c r="AS430" s="21">
        <f t="shared" si="74"/>
        <v>409</v>
      </c>
      <c r="AT430" s="21">
        <f t="shared" si="68"/>
        <v>0</v>
      </c>
      <c r="AU430" s="21">
        <f t="shared" si="69"/>
        <v>409</v>
      </c>
    </row>
    <row r="431" spans="1:47" ht="26.25" x14ac:dyDescent="0.25">
      <c r="A431" s="4" t="s">
        <v>332</v>
      </c>
      <c r="B431" s="4" t="s">
        <v>374</v>
      </c>
      <c r="C431" s="5" t="s">
        <v>79</v>
      </c>
      <c r="D431" s="151"/>
      <c r="E431" s="153"/>
      <c r="F431" s="151"/>
      <c r="G431" s="153"/>
      <c r="H431" s="151"/>
      <c r="I431" s="153"/>
      <c r="J431" s="151"/>
      <c r="K431" s="153"/>
      <c r="L431" s="151"/>
      <c r="M431" s="153"/>
      <c r="N431" s="151"/>
      <c r="O431" s="153"/>
      <c r="P431" s="151"/>
      <c r="Q431" s="153"/>
      <c r="R431" s="151"/>
      <c r="S431" s="153"/>
      <c r="T431" s="151"/>
      <c r="U431" s="153"/>
      <c r="V431" s="151"/>
      <c r="W431" s="153"/>
      <c r="X431" s="151"/>
      <c r="Y431" s="153"/>
      <c r="Z431" s="61">
        <f t="shared" si="73"/>
        <v>0</v>
      </c>
      <c r="AA431" s="75">
        <f t="shared" si="73"/>
        <v>0</v>
      </c>
      <c r="AB431" s="151"/>
      <c r="AC431" s="153"/>
      <c r="AD431" s="151">
        <v>27000</v>
      </c>
      <c r="AE431" s="153">
        <v>27000</v>
      </c>
      <c r="AF431" s="151"/>
      <c r="AG431" s="153"/>
      <c r="AH431" s="151"/>
      <c r="AI431" s="153"/>
      <c r="AJ431" s="151"/>
      <c r="AK431" s="153"/>
      <c r="AL431" s="151"/>
      <c r="AM431" s="153"/>
      <c r="AN431" s="151"/>
      <c r="AO431" s="153"/>
      <c r="AP431" s="61">
        <f t="shared" si="75"/>
        <v>27000</v>
      </c>
      <c r="AQ431" s="75">
        <f t="shared" si="75"/>
        <v>27000</v>
      </c>
      <c r="AR431" s="150" t="s">
        <v>375</v>
      </c>
      <c r="AS431" s="21">
        <f t="shared" si="74"/>
        <v>0</v>
      </c>
      <c r="AT431" s="21">
        <f t="shared" si="68"/>
        <v>0</v>
      </c>
      <c r="AU431" s="21">
        <f t="shared" si="69"/>
        <v>0</v>
      </c>
    </row>
    <row r="432" spans="1:47" x14ac:dyDescent="0.25">
      <c r="A432" s="4" t="s">
        <v>332</v>
      </c>
      <c r="B432" s="4" t="s">
        <v>376</v>
      </c>
      <c r="C432" s="5" t="s">
        <v>79</v>
      </c>
      <c r="D432" s="151"/>
      <c r="E432" s="153"/>
      <c r="F432" s="151"/>
      <c r="G432" s="153"/>
      <c r="H432" s="151"/>
      <c r="I432" s="153"/>
      <c r="J432" s="151"/>
      <c r="K432" s="153"/>
      <c r="L432" s="151"/>
      <c r="M432" s="153"/>
      <c r="N432" s="151"/>
      <c r="O432" s="153"/>
      <c r="P432" s="151"/>
      <c r="Q432" s="153"/>
      <c r="R432" s="151"/>
      <c r="S432" s="153"/>
      <c r="T432" s="151"/>
      <c r="U432" s="153"/>
      <c r="V432" s="151"/>
      <c r="W432" s="153"/>
      <c r="X432" s="151"/>
      <c r="Y432" s="153"/>
      <c r="Z432" s="61">
        <f t="shared" si="73"/>
        <v>0</v>
      </c>
      <c r="AA432" s="75">
        <f t="shared" si="73"/>
        <v>0</v>
      </c>
      <c r="AB432" s="151"/>
      <c r="AC432" s="153"/>
      <c r="AD432" s="151">
        <v>11000</v>
      </c>
      <c r="AE432" s="153">
        <v>10000</v>
      </c>
      <c r="AF432" s="151"/>
      <c r="AG432" s="153"/>
      <c r="AH432" s="151"/>
      <c r="AI432" s="153"/>
      <c r="AJ432" s="151"/>
      <c r="AK432" s="153"/>
      <c r="AL432" s="151"/>
      <c r="AM432" s="153"/>
      <c r="AN432" s="151"/>
      <c r="AO432" s="153"/>
      <c r="AP432" s="61">
        <f t="shared" si="75"/>
        <v>11000</v>
      </c>
      <c r="AQ432" s="75">
        <f t="shared" si="75"/>
        <v>10000</v>
      </c>
      <c r="AR432" s="150" t="s">
        <v>371</v>
      </c>
      <c r="AS432" s="21">
        <f t="shared" si="74"/>
        <v>-1000</v>
      </c>
      <c r="AT432" s="21">
        <f t="shared" si="68"/>
        <v>0</v>
      </c>
      <c r="AU432" s="21">
        <f t="shared" si="69"/>
        <v>-1000</v>
      </c>
    </row>
    <row r="433" spans="1:47" ht="26.25" x14ac:dyDescent="0.25">
      <c r="A433" s="4" t="s">
        <v>332</v>
      </c>
      <c r="B433" s="4" t="s">
        <v>377</v>
      </c>
      <c r="C433" s="5" t="s">
        <v>60</v>
      </c>
      <c r="D433" s="151"/>
      <c r="E433" s="153"/>
      <c r="F433" s="151"/>
      <c r="G433" s="153"/>
      <c r="H433" s="151"/>
      <c r="I433" s="153"/>
      <c r="J433" s="151"/>
      <c r="K433" s="153"/>
      <c r="L433" s="151"/>
      <c r="M433" s="153"/>
      <c r="N433" s="151"/>
      <c r="O433" s="153"/>
      <c r="P433" s="151"/>
      <c r="Q433" s="153"/>
      <c r="R433" s="151"/>
      <c r="S433" s="153"/>
      <c r="T433" s="151"/>
      <c r="U433" s="153"/>
      <c r="V433" s="151"/>
      <c r="W433" s="153"/>
      <c r="X433" s="151"/>
      <c r="Y433" s="153"/>
      <c r="Z433" s="61">
        <f t="shared" si="73"/>
        <v>0</v>
      </c>
      <c r="AA433" s="75">
        <f t="shared" si="73"/>
        <v>0</v>
      </c>
      <c r="AB433" s="151"/>
      <c r="AC433" s="153"/>
      <c r="AD433" s="151">
        <v>4300</v>
      </c>
      <c r="AE433" s="153">
        <v>4300</v>
      </c>
      <c r="AF433" s="151"/>
      <c r="AG433" s="153"/>
      <c r="AH433" s="151"/>
      <c r="AI433" s="153"/>
      <c r="AJ433" s="151"/>
      <c r="AK433" s="153"/>
      <c r="AL433" s="151"/>
      <c r="AM433" s="153"/>
      <c r="AN433" s="151"/>
      <c r="AO433" s="153"/>
      <c r="AP433" s="61">
        <f t="shared" si="75"/>
        <v>4300</v>
      </c>
      <c r="AQ433" s="75">
        <f t="shared" si="75"/>
        <v>4300</v>
      </c>
      <c r="AR433" s="150" t="s">
        <v>342</v>
      </c>
      <c r="AS433" s="21">
        <f t="shared" si="74"/>
        <v>0</v>
      </c>
      <c r="AT433" s="21">
        <f t="shared" si="68"/>
        <v>0</v>
      </c>
      <c r="AU433" s="21">
        <f t="shared" si="69"/>
        <v>0</v>
      </c>
    </row>
    <row r="434" spans="1:47" x14ac:dyDescent="0.25">
      <c r="A434" s="4" t="s">
        <v>332</v>
      </c>
      <c r="B434" s="4" t="s">
        <v>378</v>
      </c>
      <c r="C434" s="6" t="s">
        <v>379</v>
      </c>
      <c r="D434" s="151"/>
      <c r="E434" s="153"/>
      <c r="F434" s="151"/>
      <c r="G434" s="153"/>
      <c r="H434" s="151"/>
      <c r="I434" s="153"/>
      <c r="J434" s="151"/>
      <c r="K434" s="153"/>
      <c r="L434" s="151"/>
      <c r="M434" s="153"/>
      <c r="N434" s="151"/>
      <c r="O434" s="153"/>
      <c r="P434" s="151"/>
      <c r="Q434" s="153"/>
      <c r="R434" s="151"/>
      <c r="S434" s="153"/>
      <c r="T434" s="151"/>
      <c r="U434" s="153"/>
      <c r="V434" s="151"/>
      <c r="W434" s="153"/>
      <c r="X434" s="151"/>
      <c r="Y434" s="153"/>
      <c r="Z434" s="61">
        <f t="shared" si="73"/>
        <v>0</v>
      </c>
      <c r="AA434" s="75">
        <f t="shared" si="73"/>
        <v>0</v>
      </c>
      <c r="AB434" s="151"/>
      <c r="AC434" s="153"/>
      <c r="AD434" s="151"/>
      <c r="AE434" s="153"/>
      <c r="AF434" s="151"/>
      <c r="AG434" s="153"/>
      <c r="AH434" s="151"/>
      <c r="AI434" s="153"/>
      <c r="AJ434" s="151"/>
      <c r="AK434" s="153"/>
      <c r="AL434" s="151">
        <v>26000</v>
      </c>
      <c r="AM434" s="153">
        <v>26000</v>
      </c>
      <c r="AN434" s="151"/>
      <c r="AO434" s="153"/>
      <c r="AP434" s="61">
        <f t="shared" si="75"/>
        <v>26000</v>
      </c>
      <c r="AQ434" s="75">
        <f t="shared" si="75"/>
        <v>26000</v>
      </c>
      <c r="AR434" s="150" t="s">
        <v>342</v>
      </c>
      <c r="AS434" s="21">
        <f t="shared" si="74"/>
        <v>0</v>
      </c>
      <c r="AT434" s="21">
        <f t="shared" si="68"/>
        <v>0</v>
      </c>
      <c r="AU434" s="21">
        <f t="shared" si="69"/>
        <v>0</v>
      </c>
    </row>
    <row r="435" spans="1:47" ht="26.25" x14ac:dyDescent="0.25">
      <c r="A435" s="4" t="s">
        <v>332</v>
      </c>
      <c r="B435" s="4" t="s">
        <v>380</v>
      </c>
      <c r="C435" s="5" t="s">
        <v>79</v>
      </c>
      <c r="D435" s="151"/>
      <c r="E435" s="153"/>
      <c r="F435" s="151"/>
      <c r="G435" s="153"/>
      <c r="H435" s="151"/>
      <c r="I435" s="153"/>
      <c r="J435" s="151"/>
      <c r="K435" s="153"/>
      <c r="L435" s="151"/>
      <c r="M435" s="153"/>
      <c r="N435" s="151"/>
      <c r="O435" s="153"/>
      <c r="P435" s="151"/>
      <c r="Q435" s="153"/>
      <c r="R435" s="151"/>
      <c r="S435" s="153"/>
      <c r="T435" s="151"/>
      <c r="U435" s="153"/>
      <c r="V435" s="151"/>
      <c r="W435" s="153"/>
      <c r="X435" s="151"/>
      <c r="Y435" s="153"/>
      <c r="Z435" s="61">
        <f t="shared" si="73"/>
        <v>0</v>
      </c>
      <c r="AA435" s="75">
        <f t="shared" si="73"/>
        <v>0</v>
      </c>
      <c r="AB435" s="151"/>
      <c r="AC435" s="153"/>
      <c r="AD435" s="151"/>
      <c r="AE435" s="153"/>
      <c r="AF435" s="151"/>
      <c r="AG435" s="153"/>
      <c r="AH435" s="151"/>
      <c r="AI435" s="153"/>
      <c r="AJ435" s="151"/>
      <c r="AK435" s="153"/>
      <c r="AL435" s="151"/>
      <c r="AM435" s="153"/>
      <c r="AN435" s="151">
        <v>400000</v>
      </c>
      <c r="AO435" s="153">
        <v>550000</v>
      </c>
      <c r="AP435" s="61">
        <f t="shared" si="75"/>
        <v>400000</v>
      </c>
      <c r="AQ435" s="75">
        <f t="shared" si="75"/>
        <v>550000</v>
      </c>
      <c r="AR435" s="150" t="s">
        <v>342</v>
      </c>
      <c r="AS435" s="21">
        <f t="shared" si="74"/>
        <v>150000</v>
      </c>
      <c r="AT435" s="21">
        <f t="shared" si="68"/>
        <v>0</v>
      </c>
      <c r="AU435" s="21">
        <f t="shared" si="69"/>
        <v>150000</v>
      </c>
    </row>
    <row r="436" spans="1:47" ht="39" x14ac:dyDescent="0.25">
      <c r="A436" s="4" t="s">
        <v>332</v>
      </c>
      <c r="B436" s="4" t="s">
        <v>381</v>
      </c>
      <c r="C436" s="5" t="s">
        <v>104</v>
      </c>
      <c r="D436" s="151"/>
      <c r="E436" s="153"/>
      <c r="F436" s="151"/>
      <c r="G436" s="153"/>
      <c r="H436" s="151"/>
      <c r="I436" s="153"/>
      <c r="J436" s="151"/>
      <c r="K436" s="153"/>
      <c r="L436" s="151"/>
      <c r="M436" s="153"/>
      <c r="N436" s="151"/>
      <c r="O436" s="153"/>
      <c r="P436" s="151"/>
      <c r="Q436" s="153"/>
      <c r="R436" s="151"/>
      <c r="S436" s="153"/>
      <c r="T436" s="151"/>
      <c r="U436" s="153"/>
      <c r="V436" s="151"/>
      <c r="W436" s="153"/>
      <c r="X436" s="151"/>
      <c r="Y436" s="153"/>
      <c r="Z436" s="61">
        <f t="shared" si="73"/>
        <v>0</v>
      </c>
      <c r="AA436" s="75">
        <f t="shared" si="73"/>
        <v>0</v>
      </c>
      <c r="AB436" s="151"/>
      <c r="AC436" s="153"/>
      <c r="AD436" s="151"/>
      <c r="AE436" s="153"/>
      <c r="AF436" s="151"/>
      <c r="AG436" s="153"/>
      <c r="AH436" s="151"/>
      <c r="AI436" s="153"/>
      <c r="AJ436" s="151"/>
      <c r="AK436" s="153"/>
      <c r="AL436" s="151"/>
      <c r="AM436" s="153"/>
      <c r="AN436" s="151">
        <v>45000</v>
      </c>
      <c r="AO436" s="153">
        <v>45000</v>
      </c>
      <c r="AP436" s="61">
        <f t="shared" si="75"/>
        <v>45000</v>
      </c>
      <c r="AQ436" s="75">
        <f t="shared" si="75"/>
        <v>45000</v>
      </c>
      <c r="AR436" s="150" t="s">
        <v>102</v>
      </c>
      <c r="AS436" s="21">
        <f t="shared" si="74"/>
        <v>0</v>
      </c>
      <c r="AT436" s="21">
        <f t="shared" si="68"/>
        <v>0</v>
      </c>
      <c r="AU436" s="21">
        <f t="shared" si="69"/>
        <v>0</v>
      </c>
    </row>
    <row r="437" spans="1:47" ht="30" x14ac:dyDescent="0.25">
      <c r="A437" s="4" t="s">
        <v>332</v>
      </c>
      <c r="B437" s="4" t="s">
        <v>576</v>
      </c>
      <c r="C437" s="5" t="s">
        <v>104</v>
      </c>
      <c r="D437" s="151">
        <v>334343</v>
      </c>
      <c r="E437" s="153">
        <v>333886</v>
      </c>
      <c r="F437" s="151">
        <v>1500</v>
      </c>
      <c r="G437" s="153">
        <v>1500</v>
      </c>
      <c r="H437" s="151">
        <v>11500</v>
      </c>
      <c r="I437" s="153">
        <v>11500</v>
      </c>
      <c r="J437" s="151">
        <v>700</v>
      </c>
      <c r="K437" s="153">
        <v>700</v>
      </c>
      <c r="L437" s="151">
        <v>3800</v>
      </c>
      <c r="M437" s="153">
        <v>3800</v>
      </c>
      <c r="N437" s="151">
        <v>2710</v>
      </c>
      <c r="O437" s="153">
        <v>2500</v>
      </c>
      <c r="P437" s="151"/>
      <c r="Q437" s="153"/>
      <c r="R437" s="151"/>
      <c r="S437" s="153"/>
      <c r="T437" s="151"/>
      <c r="U437" s="153"/>
      <c r="V437" s="151"/>
      <c r="W437" s="153"/>
      <c r="X437" s="151"/>
      <c r="Y437" s="153"/>
      <c r="Z437" s="61">
        <f t="shared" si="73"/>
        <v>354553</v>
      </c>
      <c r="AA437" s="75">
        <f t="shared" si="73"/>
        <v>353886</v>
      </c>
      <c r="AB437" s="151">
        <v>300</v>
      </c>
      <c r="AC437" s="153">
        <v>200</v>
      </c>
      <c r="AD437" s="151">
        <v>31610</v>
      </c>
      <c r="AE437" s="153">
        <v>30000</v>
      </c>
      <c r="AF437" s="151">
        <v>5000</v>
      </c>
      <c r="AG437" s="153">
        <v>4500</v>
      </c>
      <c r="AH437" s="151"/>
      <c r="AI437" s="153"/>
      <c r="AJ437" s="151"/>
      <c r="AK437" s="153"/>
      <c r="AL437" s="151"/>
      <c r="AM437" s="153"/>
      <c r="AN437" s="151"/>
      <c r="AO437" s="153"/>
      <c r="AP437" s="61">
        <f t="shared" si="75"/>
        <v>391463</v>
      </c>
      <c r="AQ437" s="75">
        <f t="shared" si="75"/>
        <v>388586</v>
      </c>
      <c r="AR437" s="150" t="s">
        <v>102</v>
      </c>
      <c r="AS437" s="21">
        <f t="shared" si="74"/>
        <v>-2877</v>
      </c>
      <c r="AT437" s="21">
        <f t="shared" si="68"/>
        <v>-457</v>
      </c>
      <c r="AU437" s="21">
        <f t="shared" si="69"/>
        <v>-2420</v>
      </c>
    </row>
    <row r="438" spans="1:47" ht="30" x14ac:dyDescent="0.25">
      <c r="A438" s="4" t="s">
        <v>332</v>
      </c>
      <c r="B438" s="4" t="s">
        <v>382</v>
      </c>
      <c r="C438" s="5" t="s">
        <v>104</v>
      </c>
      <c r="D438" s="151"/>
      <c r="E438" s="153"/>
      <c r="F438" s="151"/>
      <c r="G438" s="153"/>
      <c r="H438" s="151"/>
      <c r="I438" s="153"/>
      <c r="J438" s="151"/>
      <c r="K438" s="153"/>
      <c r="L438" s="151"/>
      <c r="M438" s="153"/>
      <c r="N438" s="151"/>
      <c r="O438" s="153"/>
      <c r="P438" s="151"/>
      <c r="Q438" s="153"/>
      <c r="R438" s="151"/>
      <c r="S438" s="153"/>
      <c r="T438" s="151"/>
      <c r="U438" s="153"/>
      <c r="V438" s="151"/>
      <c r="W438" s="153"/>
      <c r="X438" s="151"/>
      <c r="Y438" s="153"/>
      <c r="Z438" s="61">
        <f t="shared" si="73"/>
        <v>0</v>
      </c>
      <c r="AA438" s="75">
        <f t="shared" si="73"/>
        <v>0</v>
      </c>
      <c r="AB438" s="151"/>
      <c r="AC438" s="153"/>
      <c r="AD438" s="151">
        <v>156000</v>
      </c>
      <c r="AE438" s="153">
        <v>156000</v>
      </c>
      <c r="AF438" s="151"/>
      <c r="AG438" s="153"/>
      <c r="AH438" s="151"/>
      <c r="AI438" s="153"/>
      <c r="AJ438" s="151"/>
      <c r="AK438" s="153"/>
      <c r="AL438" s="151"/>
      <c r="AM438" s="153"/>
      <c r="AN438" s="151"/>
      <c r="AO438" s="153"/>
      <c r="AP438" s="61">
        <f t="shared" si="75"/>
        <v>156000</v>
      </c>
      <c r="AQ438" s="75">
        <f t="shared" si="75"/>
        <v>156000</v>
      </c>
      <c r="AR438" s="150" t="s">
        <v>102</v>
      </c>
      <c r="AS438" s="21">
        <f t="shared" si="74"/>
        <v>0</v>
      </c>
      <c r="AT438" s="21">
        <f t="shared" si="68"/>
        <v>0</v>
      </c>
      <c r="AU438" s="21">
        <f t="shared" si="69"/>
        <v>0</v>
      </c>
    </row>
    <row r="439" spans="1:47" ht="30" x14ac:dyDescent="0.25">
      <c r="A439" s="4" t="s">
        <v>332</v>
      </c>
      <c r="B439" s="4" t="s">
        <v>383</v>
      </c>
      <c r="C439" s="5" t="s">
        <v>101</v>
      </c>
      <c r="D439" s="151"/>
      <c r="E439" s="153"/>
      <c r="F439" s="151"/>
      <c r="G439" s="153"/>
      <c r="H439" s="151">
        <v>5400</v>
      </c>
      <c r="I439" s="153">
        <v>5400</v>
      </c>
      <c r="J439" s="151">
        <v>1600</v>
      </c>
      <c r="K439" s="153">
        <v>2700</v>
      </c>
      <c r="L439" s="151">
        <v>3200</v>
      </c>
      <c r="M439" s="153">
        <v>2800</v>
      </c>
      <c r="N439" s="151"/>
      <c r="O439" s="153"/>
      <c r="P439" s="151"/>
      <c r="Q439" s="153"/>
      <c r="R439" s="151"/>
      <c r="S439" s="153"/>
      <c r="T439" s="151"/>
      <c r="U439" s="153"/>
      <c r="V439" s="151"/>
      <c r="W439" s="153"/>
      <c r="X439" s="151"/>
      <c r="Y439" s="153"/>
      <c r="Z439" s="61">
        <f t="shared" si="73"/>
        <v>10200</v>
      </c>
      <c r="AA439" s="75">
        <f t="shared" si="73"/>
        <v>10900</v>
      </c>
      <c r="AB439" s="151"/>
      <c r="AC439" s="153"/>
      <c r="AD439" s="151">
        <v>4200</v>
      </c>
      <c r="AE439" s="153">
        <v>3000</v>
      </c>
      <c r="AF439" s="151">
        <v>2000</v>
      </c>
      <c r="AG439" s="153">
        <v>1500</v>
      </c>
      <c r="AH439" s="151"/>
      <c r="AI439" s="153"/>
      <c r="AJ439" s="151"/>
      <c r="AK439" s="153"/>
      <c r="AL439" s="151"/>
      <c r="AM439" s="153"/>
      <c r="AN439" s="151"/>
      <c r="AO439" s="153"/>
      <c r="AP439" s="61">
        <f t="shared" si="75"/>
        <v>16400</v>
      </c>
      <c r="AQ439" s="75">
        <f t="shared" si="75"/>
        <v>15400</v>
      </c>
      <c r="AR439" s="150" t="s">
        <v>102</v>
      </c>
      <c r="AS439" s="21">
        <f t="shared" si="74"/>
        <v>-1000</v>
      </c>
      <c r="AT439" s="21">
        <f t="shared" si="68"/>
        <v>0</v>
      </c>
      <c r="AU439" s="21">
        <f t="shared" si="69"/>
        <v>-1000</v>
      </c>
    </row>
    <row r="440" spans="1:47" ht="30" x14ac:dyDescent="0.25">
      <c r="A440" s="4" t="s">
        <v>332</v>
      </c>
      <c r="B440" s="4" t="s">
        <v>384</v>
      </c>
      <c r="C440" s="5" t="s">
        <v>104</v>
      </c>
      <c r="D440" s="151"/>
      <c r="E440" s="153"/>
      <c r="F440" s="151"/>
      <c r="G440" s="153"/>
      <c r="H440" s="151"/>
      <c r="I440" s="153"/>
      <c r="J440" s="151"/>
      <c r="K440" s="153"/>
      <c r="L440" s="151"/>
      <c r="M440" s="153"/>
      <c r="N440" s="151"/>
      <c r="O440" s="153"/>
      <c r="P440" s="151"/>
      <c r="Q440" s="153"/>
      <c r="R440" s="151"/>
      <c r="S440" s="153"/>
      <c r="T440" s="151"/>
      <c r="U440" s="153"/>
      <c r="V440" s="151"/>
      <c r="W440" s="153"/>
      <c r="X440" s="151"/>
      <c r="Y440" s="153"/>
      <c r="Z440" s="61">
        <f t="shared" si="73"/>
        <v>0</v>
      </c>
      <c r="AA440" s="75">
        <f t="shared" si="73"/>
        <v>0</v>
      </c>
      <c r="AB440" s="151"/>
      <c r="AC440" s="153"/>
      <c r="AD440" s="151"/>
      <c r="AE440" s="153"/>
      <c r="AF440" s="151"/>
      <c r="AG440" s="153"/>
      <c r="AH440" s="151"/>
      <c r="AI440" s="153"/>
      <c r="AJ440" s="151"/>
      <c r="AK440" s="153"/>
      <c r="AL440" s="151">
        <v>216000</v>
      </c>
      <c r="AM440" s="153">
        <v>234000</v>
      </c>
      <c r="AN440" s="151"/>
      <c r="AO440" s="153"/>
      <c r="AP440" s="61">
        <f t="shared" si="75"/>
        <v>216000</v>
      </c>
      <c r="AQ440" s="75">
        <f t="shared" si="75"/>
        <v>234000</v>
      </c>
      <c r="AR440" s="150" t="s">
        <v>102</v>
      </c>
      <c r="AS440" s="21">
        <f t="shared" si="74"/>
        <v>18000</v>
      </c>
      <c r="AT440" s="21">
        <f t="shared" si="68"/>
        <v>0</v>
      </c>
      <c r="AU440" s="21">
        <f t="shared" si="69"/>
        <v>18000</v>
      </c>
    </row>
    <row r="441" spans="1:47" ht="30" x14ac:dyDescent="0.25">
      <c r="A441" s="4" t="s">
        <v>332</v>
      </c>
      <c r="B441" s="4" t="s">
        <v>385</v>
      </c>
      <c r="C441" s="5" t="s">
        <v>104</v>
      </c>
      <c r="D441" s="151"/>
      <c r="E441" s="153"/>
      <c r="F441" s="151"/>
      <c r="G441" s="153"/>
      <c r="H441" s="151"/>
      <c r="I441" s="153"/>
      <c r="J441" s="151"/>
      <c r="K441" s="153"/>
      <c r="L441" s="151"/>
      <c r="M441" s="153"/>
      <c r="N441" s="151"/>
      <c r="O441" s="153"/>
      <c r="P441" s="151"/>
      <c r="Q441" s="153"/>
      <c r="R441" s="151"/>
      <c r="S441" s="153"/>
      <c r="T441" s="151"/>
      <c r="U441" s="153"/>
      <c r="V441" s="151"/>
      <c r="W441" s="153"/>
      <c r="X441" s="151"/>
      <c r="Y441" s="153"/>
      <c r="Z441" s="61">
        <f t="shared" si="73"/>
        <v>0</v>
      </c>
      <c r="AA441" s="75">
        <f t="shared" si="73"/>
        <v>0</v>
      </c>
      <c r="AB441" s="151"/>
      <c r="AC441" s="153"/>
      <c r="AD441" s="151"/>
      <c r="AE441" s="153"/>
      <c r="AF441" s="151"/>
      <c r="AG441" s="153"/>
      <c r="AH441" s="151"/>
      <c r="AI441" s="153"/>
      <c r="AJ441" s="151"/>
      <c r="AK441" s="153"/>
      <c r="AL441" s="151">
        <v>50000</v>
      </c>
      <c r="AM441" s="153">
        <v>50000</v>
      </c>
      <c r="AN441" s="151"/>
      <c r="AO441" s="153"/>
      <c r="AP441" s="61">
        <f t="shared" si="75"/>
        <v>50000</v>
      </c>
      <c r="AQ441" s="75">
        <f t="shared" si="75"/>
        <v>50000</v>
      </c>
      <c r="AR441" s="150" t="s">
        <v>102</v>
      </c>
      <c r="AS441" s="21">
        <f t="shared" si="74"/>
        <v>0</v>
      </c>
      <c r="AT441" s="21">
        <f t="shared" si="68"/>
        <v>0</v>
      </c>
      <c r="AU441" s="21">
        <f t="shared" si="69"/>
        <v>0</v>
      </c>
    </row>
    <row r="442" spans="1:47" ht="30" x14ac:dyDescent="0.25">
      <c r="A442" s="4" t="s">
        <v>332</v>
      </c>
      <c r="B442" s="4" t="s">
        <v>386</v>
      </c>
      <c r="C442" s="5" t="s">
        <v>104</v>
      </c>
      <c r="D442" s="151"/>
      <c r="E442" s="153"/>
      <c r="F442" s="151"/>
      <c r="G442" s="153"/>
      <c r="H442" s="151"/>
      <c r="I442" s="153"/>
      <c r="J442" s="151"/>
      <c r="K442" s="153"/>
      <c r="L442" s="151"/>
      <c r="M442" s="153"/>
      <c r="N442" s="151"/>
      <c r="O442" s="153"/>
      <c r="P442" s="151"/>
      <c r="Q442" s="153"/>
      <c r="R442" s="151"/>
      <c r="S442" s="153"/>
      <c r="T442" s="151"/>
      <c r="U442" s="153"/>
      <c r="V442" s="151"/>
      <c r="W442" s="153"/>
      <c r="X442" s="151"/>
      <c r="Y442" s="153"/>
      <c r="Z442" s="61">
        <f t="shared" si="73"/>
        <v>0</v>
      </c>
      <c r="AA442" s="75">
        <f t="shared" si="73"/>
        <v>0</v>
      </c>
      <c r="AB442" s="151"/>
      <c r="AC442" s="153"/>
      <c r="AD442" s="151"/>
      <c r="AE442" s="153"/>
      <c r="AF442" s="151"/>
      <c r="AG442" s="153"/>
      <c r="AH442" s="151"/>
      <c r="AI442" s="153"/>
      <c r="AJ442" s="151"/>
      <c r="AK442" s="153"/>
      <c r="AL442" s="151">
        <v>45600</v>
      </c>
      <c r="AM442" s="153">
        <v>102430</v>
      </c>
      <c r="AN442" s="151"/>
      <c r="AO442" s="153"/>
      <c r="AP442" s="61">
        <f t="shared" si="75"/>
        <v>45600</v>
      </c>
      <c r="AQ442" s="75">
        <f t="shared" si="75"/>
        <v>102430</v>
      </c>
      <c r="AR442" s="150" t="s">
        <v>102</v>
      </c>
      <c r="AS442" s="21">
        <f t="shared" si="74"/>
        <v>56830</v>
      </c>
      <c r="AT442" s="21">
        <f t="shared" si="68"/>
        <v>0</v>
      </c>
      <c r="AU442" s="21">
        <f t="shared" si="69"/>
        <v>56830</v>
      </c>
    </row>
    <row r="443" spans="1:47" ht="30" x14ac:dyDescent="0.25">
      <c r="A443" s="4" t="s">
        <v>332</v>
      </c>
      <c r="B443" s="4" t="s">
        <v>387</v>
      </c>
      <c r="C443" s="5" t="s">
        <v>104</v>
      </c>
      <c r="D443" s="151"/>
      <c r="E443" s="153"/>
      <c r="F443" s="151"/>
      <c r="G443" s="153"/>
      <c r="H443" s="151"/>
      <c r="I443" s="153"/>
      <c r="J443" s="151"/>
      <c r="K443" s="153"/>
      <c r="L443" s="151"/>
      <c r="M443" s="153"/>
      <c r="N443" s="151"/>
      <c r="O443" s="153"/>
      <c r="P443" s="151"/>
      <c r="Q443" s="153"/>
      <c r="R443" s="151"/>
      <c r="S443" s="153"/>
      <c r="T443" s="151"/>
      <c r="U443" s="153"/>
      <c r="V443" s="151"/>
      <c r="W443" s="153"/>
      <c r="X443" s="151"/>
      <c r="Y443" s="153"/>
      <c r="Z443" s="61">
        <f t="shared" si="73"/>
        <v>0</v>
      </c>
      <c r="AA443" s="75">
        <f t="shared" si="73"/>
        <v>0</v>
      </c>
      <c r="AB443" s="151"/>
      <c r="AC443" s="153"/>
      <c r="AD443" s="151"/>
      <c r="AE443" s="153"/>
      <c r="AF443" s="151"/>
      <c r="AG443" s="153"/>
      <c r="AH443" s="151"/>
      <c r="AI443" s="153"/>
      <c r="AJ443" s="151"/>
      <c r="AK443" s="153"/>
      <c r="AL443" s="151">
        <v>50000</v>
      </c>
      <c r="AM443" s="153">
        <v>34627</v>
      </c>
      <c r="AN443" s="151"/>
      <c r="AO443" s="153"/>
      <c r="AP443" s="61">
        <f t="shared" si="75"/>
        <v>50000</v>
      </c>
      <c r="AQ443" s="75">
        <f t="shared" si="75"/>
        <v>34627</v>
      </c>
      <c r="AR443" s="150" t="s">
        <v>102</v>
      </c>
      <c r="AS443" s="21">
        <f t="shared" si="74"/>
        <v>-15373</v>
      </c>
      <c r="AT443" s="21">
        <f t="shared" si="68"/>
        <v>0</v>
      </c>
      <c r="AU443" s="21">
        <f t="shared" si="69"/>
        <v>-15373</v>
      </c>
    </row>
    <row r="444" spans="1:47" ht="30" x14ac:dyDescent="0.25">
      <c r="A444" s="4" t="s">
        <v>332</v>
      </c>
      <c r="B444" s="4" t="s">
        <v>388</v>
      </c>
      <c r="C444" s="5" t="s">
        <v>104</v>
      </c>
      <c r="D444" s="151"/>
      <c r="E444" s="153"/>
      <c r="F444" s="151"/>
      <c r="G444" s="153"/>
      <c r="H444" s="151"/>
      <c r="I444" s="153"/>
      <c r="J444" s="151"/>
      <c r="K444" s="153"/>
      <c r="L444" s="151"/>
      <c r="M444" s="153"/>
      <c r="N444" s="151"/>
      <c r="O444" s="153"/>
      <c r="P444" s="151"/>
      <c r="Q444" s="153"/>
      <c r="R444" s="151"/>
      <c r="S444" s="153"/>
      <c r="T444" s="151"/>
      <c r="U444" s="153"/>
      <c r="V444" s="151"/>
      <c r="W444" s="153"/>
      <c r="X444" s="151"/>
      <c r="Y444" s="153"/>
      <c r="Z444" s="61">
        <f t="shared" si="73"/>
        <v>0</v>
      </c>
      <c r="AA444" s="75">
        <f t="shared" si="73"/>
        <v>0</v>
      </c>
      <c r="AB444" s="151"/>
      <c r="AC444" s="153"/>
      <c r="AD444" s="151">
        <v>5000</v>
      </c>
      <c r="AE444" s="153">
        <v>5000</v>
      </c>
      <c r="AF444" s="151"/>
      <c r="AG444" s="153"/>
      <c r="AH444" s="151"/>
      <c r="AI444" s="153"/>
      <c r="AJ444" s="151"/>
      <c r="AK444" s="153"/>
      <c r="AL444" s="151"/>
      <c r="AM444" s="153"/>
      <c r="AN444" s="151"/>
      <c r="AO444" s="153"/>
      <c r="AP444" s="61">
        <f t="shared" si="75"/>
        <v>5000</v>
      </c>
      <c r="AQ444" s="75">
        <f t="shared" si="75"/>
        <v>5000</v>
      </c>
      <c r="AR444" s="150" t="s">
        <v>102</v>
      </c>
      <c r="AS444" s="21">
        <f t="shared" si="74"/>
        <v>0</v>
      </c>
      <c r="AT444" s="21">
        <f t="shared" si="68"/>
        <v>0</v>
      </c>
      <c r="AU444" s="21">
        <f t="shared" si="69"/>
        <v>0</v>
      </c>
    </row>
    <row r="445" spans="1:47" ht="30" x14ac:dyDescent="0.25">
      <c r="A445" s="4" t="s">
        <v>332</v>
      </c>
      <c r="B445" s="4" t="s">
        <v>100</v>
      </c>
      <c r="C445" s="5" t="s">
        <v>101</v>
      </c>
      <c r="D445" s="151"/>
      <c r="E445" s="153"/>
      <c r="F445" s="151"/>
      <c r="G445" s="153"/>
      <c r="H445" s="151"/>
      <c r="I445" s="153"/>
      <c r="J445" s="151"/>
      <c r="K445" s="153"/>
      <c r="L445" s="151"/>
      <c r="M445" s="153"/>
      <c r="N445" s="151"/>
      <c r="O445" s="153"/>
      <c r="P445" s="151"/>
      <c r="Q445" s="153"/>
      <c r="R445" s="151"/>
      <c r="S445" s="153"/>
      <c r="T445" s="151"/>
      <c r="U445" s="153"/>
      <c r="V445" s="151"/>
      <c r="W445" s="153"/>
      <c r="X445" s="151"/>
      <c r="Y445" s="153"/>
      <c r="Z445" s="61">
        <f t="shared" si="73"/>
        <v>0</v>
      </c>
      <c r="AA445" s="75">
        <f t="shared" si="73"/>
        <v>0</v>
      </c>
      <c r="AB445" s="151"/>
      <c r="AC445" s="153"/>
      <c r="AD445" s="151"/>
      <c r="AE445" s="153"/>
      <c r="AF445" s="151"/>
      <c r="AG445" s="153"/>
      <c r="AH445" s="151"/>
      <c r="AI445" s="153"/>
      <c r="AJ445" s="151"/>
      <c r="AK445" s="153"/>
      <c r="AL445" s="151">
        <v>472269</v>
      </c>
      <c r="AM445" s="153">
        <f>739946-AM340-AM297-AM316-AM272-AM249-AM232-AM207-AM178-AM152-AM132-AM99-AM75-AM55-AM27+50000</f>
        <v>624131</v>
      </c>
      <c r="AN445" s="151"/>
      <c r="AO445" s="153"/>
      <c r="AP445" s="61">
        <f t="shared" si="75"/>
        <v>472269</v>
      </c>
      <c r="AQ445" s="75">
        <f t="shared" si="75"/>
        <v>624131</v>
      </c>
      <c r="AR445" s="150" t="s">
        <v>102</v>
      </c>
      <c r="AS445" s="21">
        <f t="shared" si="74"/>
        <v>151862</v>
      </c>
      <c r="AT445" s="21">
        <f t="shared" si="68"/>
        <v>0</v>
      </c>
      <c r="AU445" s="21">
        <f t="shared" si="69"/>
        <v>151862</v>
      </c>
    </row>
    <row r="446" spans="1:47" ht="26.25" x14ac:dyDescent="0.25">
      <c r="A446" s="4" t="s">
        <v>332</v>
      </c>
      <c r="B446" s="4" t="s">
        <v>389</v>
      </c>
      <c r="C446" s="5" t="s">
        <v>67</v>
      </c>
      <c r="D446" s="151">
        <v>48604</v>
      </c>
      <c r="E446" s="153">
        <v>56772</v>
      </c>
      <c r="F446" s="151"/>
      <c r="G446" s="153"/>
      <c r="H446" s="151"/>
      <c r="I446" s="153"/>
      <c r="J446" s="151"/>
      <c r="K446" s="153"/>
      <c r="L446" s="151"/>
      <c r="M446" s="153"/>
      <c r="N446" s="151"/>
      <c r="O446" s="153"/>
      <c r="P446" s="151"/>
      <c r="Q446" s="153"/>
      <c r="R446" s="151"/>
      <c r="S446" s="153"/>
      <c r="T446" s="151"/>
      <c r="U446" s="153"/>
      <c r="V446" s="151"/>
      <c r="W446" s="153"/>
      <c r="X446" s="151"/>
      <c r="Y446" s="153"/>
      <c r="Z446" s="61">
        <f t="shared" si="73"/>
        <v>48604</v>
      </c>
      <c r="AA446" s="75">
        <f t="shared" si="73"/>
        <v>56772</v>
      </c>
      <c r="AB446" s="151"/>
      <c r="AC446" s="153"/>
      <c r="AD446" s="151">
        <v>1100</v>
      </c>
      <c r="AE446" s="153">
        <v>1000</v>
      </c>
      <c r="AF446" s="151">
        <v>7000</v>
      </c>
      <c r="AG446" s="153">
        <v>6000</v>
      </c>
      <c r="AH446" s="151"/>
      <c r="AI446" s="153"/>
      <c r="AJ446" s="151"/>
      <c r="AK446" s="153"/>
      <c r="AL446" s="151"/>
      <c r="AM446" s="153"/>
      <c r="AN446" s="151"/>
      <c r="AO446" s="153"/>
      <c r="AP446" s="61">
        <f t="shared" si="75"/>
        <v>56704</v>
      </c>
      <c r="AQ446" s="75">
        <f t="shared" si="75"/>
        <v>63772</v>
      </c>
      <c r="AR446" s="150" t="s">
        <v>68</v>
      </c>
      <c r="AS446" s="21">
        <f t="shared" si="74"/>
        <v>7068</v>
      </c>
      <c r="AT446" s="21">
        <f t="shared" si="68"/>
        <v>8168</v>
      </c>
      <c r="AU446" s="21">
        <f t="shared" si="69"/>
        <v>-1100</v>
      </c>
    </row>
    <row r="447" spans="1:47" x14ac:dyDescent="0.25">
      <c r="A447" s="4" t="s">
        <v>332</v>
      </c>
      <c r="B447" s="4" t="s">
        <v>390</v>
      </c>
      <c r="C447" s="5" t="s">
        <v>70</v>
      </c>
      <c r="D447" s="151">
        <v>80559</v>
      </c>
      <c r="E447" s="153">
        <v>80383</v>
      </c>
      <c r="F447" s="151">
        <v>1059</v>
      </c>
      <c r="G447" s="153">
        <v>1059</v>
      </c>
      <c r="H447" s="151">
        <v>7900</v>
      </c>
      <c r="I447" s="153">
        <v>8700</v>
      </c>
      <c r="J447" s="151">
        <v>8300</v>
      </c>
      <c r="K447" s="153">
        <v>8300</v>
      </c>
      <c r="L447" s="151">
        <v>23500</v>
      </c>
      <c r="M447" s="153">
        <v>23500</v>
      </c>
      <c r="N447" s="151">
        <v>1400</v>
      </c>
      <c r="O447" s="153">
        <v>1400</v>
      </c>
      <c r="P447" s="151"/>
      <c r="Q447" s="153"/>
      <c r="R447" s="151">
        <v>14000</v>
      </c>
      <c r="S447" s="153">
        <v>14000</v>
      </c>
      <c r="T447" s="151"/>
      <c r="U447" s="153"/>
      <c r="V447" s="151"/>
      <c r="W447" s="153"/>
      <c r="X447" s="151"/>
      <c r="Y447" s="153"/>
      <c r="Z447" s="61">
        <f t="shared" si="73"/>
        <v>136718</v>
      </c>
      <c r="AA447" s="75">
        <f t="shared" si="73"/>
        <v>137342</v>
      </c>
      <c r="AB447" s="151">
        <v>2500</v>
      </c>
      <c r="AC447" s="153">
        <v>1876</v>
      </c>
      <c r="AD447" s="151">
        <v>42030</v>
      </c>
      <c r="AE447" s="153">
        <v>42030</v>
      </c>
      <c r="AF447" s="151">
        <v>14300</v>
      </c>
      <c r="AG447" s="153">
        <v>14300</v>
      </c>
      <c r="AH447" s="151"/>
      <c r="AI447" s="153"/>
      <c r="AJ447" s="151"/>
      <c r="AK447" s="153"/>
      <c r="AL447" s="151"/>
      <c r="AM447" s="153"/>
      <c r="AN447" s="151"/>
      <c r="AO447" s="153"/>
      <c r="AP447" s="61">
        <f t="shared" si="75"/>
        <v>195548</v>
      </c>
      <c r="AQ447" s="75">
        <f t="shared" si="75"/>
        <v>195548</v>
      </c>
      <c r="AR447" s="150" t="s">
        <v>71</v>
      </c>
      <c r="AS447" s="21">
        <f t="shared" si="74"/>
        <v>0</v>
      </c>
      <c r="AT447" s="21">
        <f t="shared" si="68"/>
        <v>-176</v>
      </c>
      <c r="AU447" s="21">
        <f t="shared" si="69"/>
        <v>176</v>
      </c>
    </row>
    <row r="448" spans="1:47" x14ac:dyDescent="0.25">
      <c r="A448" s="4" t="s">
        <v>332</v>
      </c>
      <c r="B448" s="4" t="s">
        <v>391</v>
      </c>
      <c r="C448" s="5" t="s">
        <v>220</v>
      </c>
      <c r="D448" s="151"/>
      <c r="E448" s="153"/>
      <c r="F448" s="151"/>
      <c r="G448" s="153"/>
      <c r="H448" s="151"/>
      <c r="I448" s="153"/>
      <c r="J448" s="151"/>
      <c r="K448" s="153"/>
      <c r="L448" s="151"/>
      <c r="M448" s="153"/>
      <c r="N448" s="151"/>
      <c r="O448" s="153"/>
      <c r="P448" s="151"/>
      <c r="Q448" s="153"/>
      <c r="R448" s="151"/>
      <c r="S448" s="153"/>
      <c r="T448" s="151"/>
      <c r="U448" s="153"/>
      <c r="V448" s="151"/>
      <c r="W448" s="153"/>
      <c r="X448" s="151"/>
      <c r="Y448" s="153"/>
      <c r="Z448" s="61">
        <f t="shared" si="73"/>
        <v>0</v>
      </c>
      <c r="AA448" s="75">
        <f t="shared" si="73"/>
        <v>0</v>
      </c>
      <c r="AB448" s="151"/>
      <c r="AC448" s="153"/>
      <c r="AD448" s="151">
        <v>287639</v>
      </c>
      <c r="AE448" s="153">
        <v>100000</v>
      </c>
      <c r="AF448" s="151"/>
      <c r="AG448" s="153"/>
      <c r="AH448" s="151"/>
      <c r="AI448" s="153"/>
      <c r="AJ448" s="151"/>
      <c r="AK448" s="153"/>
      <c r="AL448" s="151"/>
      <c r="AM448" s="153"/>
      <c r="AN448" s="151"/>
      <c r="AO448" s="153"/>
      <c r="AP448" s="61">
        <f t="shared" si="75"/>
        <v>287639</v>
      </c>
      <c r="AQ448" s="75">
        <f t="shared" si="75"/>
        <v>100000</v>
      </c>
      <c r="AR448" s="150" t="s">
        <v>342</v>
      </c>
      <c r="AS448" s="21">
        <f t="shared" si="74"/>
        <v>-187639</v>
      </c>
      <c r="AT448" s="21">
        <f t="shared" si="68"/>
        <v>0</v>
      </c>
      <c r="AU448" s="21">
        <f t="shared" si="69"/>
        <v>-187639</v>
      </c>
    </row>
    <row r="449" spans="1:47" ht="26.25" x14ac:dyDescent="0.25">
      <c r="A449" s="4" t="s">
        <v>332</v>
      </c>
      <c r="B449" s="4" t="s">
        <v>392</v>
      </c>
      <c r="C449" s="6" t="s">
        <v>60</v>
      </c>
      <c r="D449" s="151"/>
      <c r="E449" s="153"/>
      <c r="F449" s="151"/>
      <c r="G449" s="153"/>
      <c r="H449" s="151"/>
      <c r="I449" s="153"/>
      <c r="J449" s="151"/>
      <c r="K449" s="153"/>
      <c r="L449" s="151"/>
      <c r="M449" s="153"/>
      <c r="N449" s="151"/>
      <c r="O449" s="153"/>
      <c r="P449" s="151"/>
      <c r="Q449" s="153"/>
      <c r="R449" s="151"/>
      <c r="S449" s="153"/>
      <c r="T449" s="151"/>
      <c r="U449" s="153"/>
      <c r="V449" s="151"/>
      <c r="W449" s="153"/>
      <c r="X449" s="151"/>
      <c r="Y449" s="153"/>
      <c r="Z449" s="61">
        <f t="shared" si="73"/>
        <v>0</v>
      </c>
      <c r="AA449" s="75">
        <f t="shared" si="73"/>
        <v>0</v>
      </c>
      <c r="AB449" s="151"/>
      <c r="AC449" s="153"/>
      <c r="AD449" s="151"/>
      <c r="AE449" s="153"/>
      <c r="AF449" s="151"/>
      <c r="AG449" s="153"/>
      <c r="AH449" s="151"/>
      <c r="AI449" s="153"/>
      <c r="AJ449" s="151">
        <v>20317</v>
      </c>
      <c r="AK449" s="153">
        <v>0</v>
      </c>
      <c r="AL449" s="151"/>
      <c r="AM449" s="153"/>
      <c r="AN449" s="151"/>
      <c r="AO449" s="153"/>
      <c r="AP449" s="61">
        <f t="shared" si="75"/>
        <v>20317</v>
      </c>
      <c r="AQ449" s="75">
        <f t="shared" si="75"/>
        <v>0</v>
      </c>
      <c r="AR449" s="150" t="s">
        <v>342</v>
      </c>
      <c r="AS449" s="21">
        <f t="shared" si="74"/>
        <v>-20317</v>
      </c>
      <c r="AT449" s="21">
        <f t="shared" si="68"/>
        <v>0</v>
      </c>
      <c r="AU449" s="21">
        <f t="shared" si="69"/>
        <v>-20317</v>
      </c>
    </row>
    <row r="450" spans="1:47" x14ac:dyDescent="0.25">
      <c r="A450" s="4" t="s">
        <v>332</v>
      </c>
      <c r="B450" s="4" t="s">
        <v>393</v>
      </c>
      <c r="C450" s="6" t="s">
        <v>60</v>
      </c>
      <c r="D450" s="151"/>
      <c r="E450" s="153"/>
      <c r="F450" s="151"/>
      <c r="G450" s="153"/>
      <c r="H450" s="151"/>
      <c r="I450" s="153"/>
      <c r="J450" s="151"/>
      <c r="K450" s="153"/>
      <c r="L450" s="151"/>
      <c r="M450" s="153"/>
      <c r="N450" s="151"/>
      <c r="O450" s="153"/>
      <c r="P450" s="151"/>
      <c r="Q450" s="153"/>
      <c r="R450" s="151"/>
      <c r="S450" s="153"/>
      <c r="T450" s="151"/>
      <c r="U450" s="153"/>
      <c r="V450" s="151"/>
      <c r="W450" s="153"/>
      <c r="X450" s="151"/>
      <c r="Y450" s="153"/>
      <c r="Z450" s="61">
        <f t="shared" si="73"/>
        <v>0</v>
      </c>
      <c r="AA450" s="75">
        <f t="shared" si="73"/>
        <v>0</v>
      </c>
      <c r="AB450" s="151"/>
      <c r="AC450" s="153"/>
      <c r="AD450" s="151">
        <v>17800</v>
      </c>
      <c r="AE450" s="153">
        <v>47000</v>
      </c>
      <c r="AF450" s="151"/>
      <c r="AG450" s="153"/>
      <c r="AH450" s="151"/>
      <c r="AI450" s="153"/>
      <c r="AJ450" s="151"/>
      <c r="AK450" s="153"/>
      <c r="AL450" s="151"/>
      <c r="AM450" s="153"/>
      <c r="AN450" s="151"/>
      <c r="AO450" s="153"/>
      <c r="AP450" s="61">
        <f t="shared" si="75"/>
        <v>17800</v>
      </c>
      <c r="AQ450" s="75">
        <f t="shared" si="75"/>
        <v>47000</v>
      </c>
      <c r="AR450" s="150" t="s">
        <v>342</v>
      </c>
      <c r="AS450" s="21">
        <f t="shared" si="74"/>
        <v>29200</v>
      </c>
      <c r="AT450" s="21">
        <f t="shared" si="68"/>
        <v>0</v>
      </c>
      <c r="AU450" s="21">
        <f t="shared" si="69"/>
        <v>29200</v>
      </c>
    </row>
    <row r="451" spans="1:47" x14ac:dyDescent="0.25">
      <c r="A451" s="4" t="s">
        <v>332</v>
      </c>
      <c r="B451" s="4" t="s">
        <v>394</v>
      </c>
      <c r="C451" s="6" t="s">
        <v>60</v>
      </c>
      <c r="D451" s="151"/>
      <c r="E451" s="153"/>
      <c r="F451" s="151"/>
      <c r="G451" s="153"/>
      <c r="H451" s="151"/>
      <c r="I451" s="153"/>
      <c r="J451" s="151"/>
      <c r="K451" s="153"/>
      <c r="L451" s="151"/>
      <c r="M451" s="153"/>
      <c r="N451" s="151"/>
      <c r="O451" s="153"/>
      <c r="P451" s="151"/>
      <c r="Q451" s="153"/>
      <c r="R451" s="151"/>
      <c r="S451" s="153"/>
      <c r="T451" s="151"/>
      <c r="U451" s="153"/>
      <c r="V451" s="151"/>
      <c r="W451" s="153"/>
      <c r="X451" s="151"/>
      <c r="Y451" s="153"/>
      <c r="Z451" s="61">
        <f t="shared" si="73"/>
        <v>0</v>
      </c>
      <c r="AA451" s="75">
        <f t="shared" si="73"/>
        <v>0</v>
      </c>
      <c r="AB451" s="151"/>
      <c r="AC451" s="153"/>
      <c r="AD451" s="151">
        <v>51000</v>
      </c>
      <c r="AE451" s="153">
        <v>25000</v>
      </c>
      <c r="AF451" s="151"/>
      <c r="AG451" s="153"/>
      <c r="AH451" s="151"/>
      <c r="AI451" s="153"/>
      <c r="AJ451" s="151"/>
      <c r="AK451" s="153"/>
      <c r="AL451" s="151"/>
      <c r="AM451" s="153"/>
      <c r="AN451" s="151"/>
      <c r="AO451" s="153"/>
      <c r="AP451" s="61">
        <f t="shared" si="75"/>
        <v>51000</v>
      </c>
      <c r="AQ451" s="75">
        <f t="shared" si="75"/>
        <v>25000</v>
      </c>
      <c r="AR451" s="150" t="s">
        <v>342</v>
      </c>
      <c r="AS451" s="21">
        <f t="shared" si="74"/>
        <v>-26000</v>
      </c>
      <c r="AT451" s="21">
        <f t="shared" si="68"/>
        <v>0</v>
      </c>
      <c r="AU451" s="21">
        <f t="shared" si="69"/>
        <v>-26000</v>
      </c>
    </row>
    <row r="452" spans="1:47" ht="26.25" x14ac:dyDescent="0.25">
      <c r="A452" s="4" t="s">
        <v>332</v>
      </c>
      <c r="B452" s="4" t="s">
        <v>395</v>
      </c>
      <c r="C452" s="6" t="s">
        <v>60</v>
      </c>
      <c r="D452" s="151"/>
      <c r="E452" s="153"/>
      <c r="F452" s="151"/>
      <c r="G452" s="153"/>
      <c r="H452" s="151"/>
      <c r="I452" s="153"/>
      <c r="J452" s="151"/>
      <c r="K452" s="153"/>
      <c r="L452" s="151"/>
      <c r="M452" s="153"/>
      <c r="N452" s="151"/>
      <c r="O452" s="153"/>
      <c r="P452" s="151"/>
      <c r="Q452" s="153"/>
      <c r="R452" s="151"/>
      <c r="S452" s="153"/>
      <c r="T452" s="151"/>
      <c r="U452" s="153"/>
      <c r="V452" s="151"/>
      <c r="W452" s="153"/>
      <c r="X452" s="151"/>
      <c r="Y452" s="153"/>
      <c r="Z452" s="61">
        <f t="shared" si="73"/>
        <v>0</v>
      </c>
      <c r="AA452" s="75">
        <f t="shared" si="73"/>
        <v>0</v>
      </c>
      <c r="AB452" s="151"/>
      <c r="AC452" s="153"/>
      <c r="AD452" s="151">
        <v>20249</v>
      </c>
      <c r="AE452" s="153">
        <v>19868</v>
      </c>
      <c r="AF452" s="151"/>
      <c r="AG452" s="153"/>
      <c r="AH452" s="151"/>
      <c r="AI452" s="153"/>
      <c r="AJ452" s="151"/>
      <c r="AK452" s="153"/>
      <c r="AL452" s="151"/>
      <c r="AM452" s="153"/>
      <c r="AN452" s="151"/>
      <c r="AO452" s="153"/>
      <c r="AP452" s="61">
        <f t="shared" si="75"/>
        <v>20249</v>
      </c>
      <c r="AQ452" s="75">
        <f t="shared" si="75"/>
        <v>19868</v>
      </c>
      <c r="AR452" s="150" t="s">
        <v>396</v>
      </c>
      <c r="AS452" s="21">
        <f t="shared" si="74"/>
        <v>-381</v>
      </c>
      <c r="AT452" s="21">
        <f t="shared" si="68"/>
        <v>0</v>
      </c>
      <c r="AU452" s="21">
        <f t="shared" si="69"/>
        <v>-381</v>
      </c>
    </row>
    <row r="453" spans="1:47" ht="26.25" x14ac:dyDescent="0.25">
      <c r="A453" s="4" t="s">
        <v>332</v>
      </c>
      <c r="B453" s="4" t="s">
        <v>397</v>
      </c>
      <c r="C453" s="5" t="s">
        <v>198</v>
      </c>
      <c r="D453" s="151"/>
      <c r="E453" s="153"/>
      <c r="F453" s="151"/>
      <c r="G453" s="153"/>
      <c r="H453" s="151"/>
      <c r="I453" s="153"/>
      <c r="J453" s="151"/>
      <c r="K453" s="153"/>
      <c r="L453" s="151"/>
      <c r="M453" s="153"/>
      <c r="N453" s="151"/>
      <c r="O453" s="153"/>
      <c r="P453" s="151"/>
      <c r="Q453" s="153"/>
      <c r="R453" s="151"/>
      <c r="S453" s="153"/>
      <c r="T453" s="151"/>
      <c r="U453" s="153"/>
      <c r="V453" s="151"/>
      <c r="W453" s="153"/>
      <c r="X453" s="151"/>
      <c r="Y453" s="153"/>
      <c r="Z453" s="61">
        <f t="shared" si="73"/>
        <v>0</v>
      </c>
      <c r="AA453" s="75">
        <f t="shared" si="73"/>
        <v>0</v>
      </c>
      <c r="AB453" s="151"/>
      <c r="AC453" s="153"/>
      <c r="AD453" s="151"/>
      <c r="AE453" s="153"/>
      <c r="AF453" s="151"/>
      <c r="AG453" s="153"/>
      <c r="AH453" s="151"/>
      <c r="AI453" s="153"/>
      <c r="AJ453" s="151"/>
      <c r="AK453" s="153"/>
      <c r="AL453" s="151">
        <v>117000</v>
      </c>
      <c r="AM453" s="153">
        <v>117000</v>
      </c>
      <c r="AN453" s="151"/>
      <c r="AO453" s="153"/>
      <c r="AP453" s="61">
        <f t="shared" si="75"/>
        <v>117000</v>
      </c>
      <c r="AQ453" s="75">
        <f t="shared" si="75"/>
        <v>117000</v>
      </c>
      <c r="AR453" s="150"/>
      <c r="AS453" s="21">
        <f t="shared" si="74"/>
        <v>0</v>
      </c>
      <c r="AT453" s="21">
        <f t="shared" si="68"/>
        <v>0</v>
      </c>
      <c r="AU453" s="21">
        <f t="shared" si="69"/>
        <v>0</v>
      </c>
    </row>
    <row r="454" spans="1:47" ht="26.25" x14ac:dyDescent="0.25">
      <c r="A454" s="4" t="s">
        <v>332</v>
      </c>
      <c r="B454" s="4" t="s">
        <v>398</v>
      </c>
      <c r="C454" s="5" t="s">
        <v>399</v>
      </c>
      <c r="D454" s="151"/>
      <c r="E454" s="153"/>
      <c r="F454" s="151"/>
      <c r="G454" s="153"/>
      <c r="H454" s="151"/>
      <c r="I454" s="153"/>
      <c r="J454" s="151"/>
      <c r="K454" s="153"/>
      <c r="L454" s="151"/>
      <c r="M454" s="153"/>
      <c r="N454" s="151"/>
      <c r="O454" s="153"/>
      <c r="P454" s="151"/>
      <c r="Q454" s="153"/>
      <c r="R454" s="151"/>
      <c r="S454" s="153"/>
      <c r="T454" s="151"/>
      <c r="U454" s="153"/>
      <c r="V454" s="151"/>
      <c r="W454" s="153"/>
      <c r="X454" s="151"/>
      <c r="Y454" s="153"/>
      <c r="Z454" s="61">
        <f t="shared" si="73"/>
        <v>0</v>
      </c>
      <c r="AA454" s="75">
        <f t="shared" si="73"/>
        <v>0</v>
      </c>
      <c r="AB454" s="151"/>
      <c r="AC454" s="153"/>
      <c r="AD454" s="151">
        <v>2300</v>
      </c>
      <c r="AE454" s="153">
        <v>1000</v>
      </c>
      <c r="AF454" s="151"/>
      <c r="AG454" s="153"/>
      <c r="AH454" s="151"/>
      <c r="AI454" s="153"/>
      <c r="AJ454" s="151"/>
      <c r="AK454" s="153"/>
      <c r="AL454" s="151"/>
      <c r="AM454" s="153"/>
      <c r="AN454" s="151"/>
      <c r="AO454" s="153"/>
      <c r="AP454" s="61">
        <f t="shared" si="75"/>
        <v>2300</v>
      </c>
      <c r="AQ454" s="75">
        <f t="shared" si="75"/>
        <v>1000</v>
      </c>
      <c r="AR454" s="150" t="s">
        <v>342</v>
      </c>
      <c r="AS454" s="21">
        <f t="shared" si="74"/>
        <v>-1300</v>
      </c>
      <c r="AT454" s="21">
        <f t="shared" si="68"/>
        <v>0</v>
      </c>
      <c r="AU454" s="21">
        <f t="shared" si="69"/>
        <v>-1300</v>
      </c>
    </row>
    <row r="455" spans="1:47" x14ac:dyDescent="0.25">
      <c r="A455" s="4" t="s">
        <v>332</v>
      </c>
      <c r="B455" s="4" t="s">
        <v>400</v>
      </c>
      <c r="C455" s="5" t="s">
        <v>401</v>
      </c>
      <c r="D455" s="151"/>
      <c r="E455" s="153"/>
      <c r="F455" s="151"/>
      <c r="G455" s="153"/>
      <c r="H455" s="151"/>
      <c r="I455" s="153"/>
      <c r="J455" s="151"/>
      <c r="K455" s="153"/>
      <c r="L455" s="151"/>
      <c r="M455" s="153"/>
      <c r="N455" s="151"/>
      <c r="O455" s="153"/>
      <c r="P455" s="151"/>
      <c r="Q455" s="153"/>
      <c r="R455" s="151"/>
      <c r="S455" s="153"/>
      <c r="T455" s="151"/>
      <c r="U455" s="153"/>
      <c r="V455" s="151"/>
      <c r="W455" s="153"/>
      <c r="X455" s="151"/>
      <c r="Y455" s="153"/>
      <c r="Z455" s="61">
        <f t="shared" si="73"/>
        <v>0</v>
      </c>
      <c r="AA455" s="75">
        <f t="shared" si="73"/>
        <v>0</v>
      </c>
      <c r="AB455" s="151"/>
      <c r="AC455" s="153"/>
      <c r="AD455" s="151">
        <v>58221</v>
      </c>
      <c r="AE455" s="97">
        <v>58221</v>
      </c>
      <c r="AF455" s="151"/>
      <c r="AG455" s="153"/>
      <c r="AH455" s="151"/>
      <c r="AI455" s="153"/>
      <c r="AJ455" s="151"/>
      <c r="AK455" s="153"/>
      <c r="AL455" s="151"/>
      <c r="AM455" s="153"/>
      <c r="AN455" s="151"/>
      <c r="AO455" s="153"/>
      <c r="AP455" s="61">
        <f t="shared" si="75"/>
        <v>58221</v>
      </c>
      <c r="AQ455" s="75">
        <f t="shared" si="75"/>
        <v>58221</v>
      </c>
      <c r="AR455" s="150" t="s">
        <v>342</v>
      </c>
      <c r="AS455" s="21">
        <f t="shared" si="74"/>
        <v>0</v>
      </c>
      <c r="AT455" s="21">
        <f t="shared" si="68"/>
        <v>0</v>
      </c>
      <c r="AU455" s="21">
        <f t="shared" si="69"/>
        <v>0</v>
      </c>
    </row>
    <row r="456" spans="1:47" ht="26.25" x14ac:dyDescent="0.25">
      <c r="A456" s="4" t="s">
        <v>332</v>
      </c>
      <c r="B456" s="4" t="s">
        <v>402</v>
      </c>
      <c r="C456" s="5" t="s">
        <v>403</v>
      </c>
      <c r="D456" s="151"/>
      <c r="E456" s="153"/>
      <c r="F456" s="151"/>
      <c r="G456" s="153"/>
      <c r="H456" s="151"/>
      <c r="I456" s="153"/>
      <c r="J456" s="151"/>
      <c r="K456" s="153"/>
      <c r="L456" s="151"/>
      <c r="M456" s="153"/>
      <c r="N456" s="151"/>
      <c r="O456" s="153"/>
      <c r="P456" s="151"/>
      <c r="Q456" s="153"/>
      <c r="R456" s="151"/>
      <c r="S456" s="153"/>
      <c r="T456" s="151"/>
      <c r="U456" s="153"/>
      <c r="V456" s="151"/>
      <c r="W456" s="153"/>
      <c r="X456" s="151"/>
      <c r="Y456" s="153"/>
      <c r="Z456" s="61">
        <f t="shared" si="73"/>
        <v>0</v>
      </c>
      <c r="AA456" s="75">
        <f t="shared" si="73"/>
        <v>0</v>
      </c>
      <c r="AB456" s="151"/>
      <c r="AC456" s="153"/>
      <c r="AD456" s="151">
        <v>1503868</v>
      </c>
      <c r="AE456" s="153">
        <v>1630553</v>
      </c>
      <c r="AF456" s="151"/>
      <c r="AG456" s="153"/>
      <c r="AH456" s="151"/>
      <c r="AI456" s="153"/>
      <c r="AJ456" s="151"/>
      <c r="AK456" s="153"/>
      <c r="AL456" s="151"/>
      <c r="AM456" s="153"/>
      <c r="AN456" s="151"/>
      <c r="AO456" s="153"/>
      <c r="AP456" s="61">
        <f t="shared" si="75"/>
        <v>1503868</v>
      </c>
      <c r="AQ456" s="75">
        <f t="shared" si="75"/>
        <v>1630553</v>
      </c>
      <c r="AR456" s="150" t="s">
        <v>342</v>
      </c>
      <c r="AS456" s="21">
        <f t="shared" ref="AS456:AS472" si="76">$AQ456-$AP456</f>
        <v>126685</v>
      </c>
      <c r="AT456" s="21">
        <f t="shared" ref="AT456:AT472" si="77">$E456-$D456</f>
        <v>0</v>
      </c>
      <c r="AU456" s="21">
        <f t="shared" ref="AU456:AU472" si="78">AQ456-E456-AP456+D456</f>
        <v>126685</v>
      </c>
    </row>
    <row r="457" spans="1:47" ht="26.25" x14ac:dyDescent="0.25">
      <c r="A457" s="4" t="s">
        <v>332</v>
      </c>
      <c r="B457" s="4" t="s">
        <v>404</v>
      </c>
      <c r="C457" s="5" t="s">
        <v>521</v>
      </c>
      <c r="D457" s="151"/>
      <c r="E457" s="153"/>
      <c r="F457" s="151"/>
      <c r="G457" s="153"/>
      <c r="H457" s="151"/>
      <c r="I457" s="153"/>
      <c r="J457" s="151"/>
      <c r="K457" s="153"/>
      <c r="L457" s="151"/>
      <c r="M457" s="153"/>
      <c r="N457" s="151"/>
      <c r="O457" s="153"/>
      <c r="P457" s="151"/>
      <c r="Q457" s="153"/>
      <c r="R457" s="151"/>
      <c r="S457" s="153"/>
      <c r="T457" s="151"/>
      <c r="U457" s="153"/>
      <c r="V457" s="151"/>
      <c r="W457" s="153"/>
      <c r="X457" s="151"/>
      <c r="Y457" s="153"/>
      <c r="Z457" s="61">
        <f t="shared" si="73"/>
        <v>0</v>
      </c>
      <c r="AA457" s="75">
        <f t="shared" si="73"/>
        <v>0</v>
      </c>
      <c r="AB457" s="151"/>
      <c r="AC457" s="153"/>
      <c r="AD457" s="151">
        <v>57895</v>
      </c>
      <c r="AE457" s="153">
        <v>57895</v>
      </c>
      <c r="AF457" s="151"/>
      <c r="AG457" s="153"/>
      <c r="AH457" s="151"/>
      <c r="AI457" s="153"/>
      <c r="AJ457" s="151"/>
      <c r="AK457" s="153"/>
      <c r="AL457" s="151"/>
      <c r="AM457" s="153"/>
      <c r="AN457" s="151"/>
      <c r="AO457" s="153"/>
      <c r="AP457" s="61">
        <f t="shared" si="75"/>
        <v>57895</v>
      </c>
      <c r="AQ457" s="75">
        <f t="shared" si="75"/>
        <v>57895</v>
      </c>
      <c r="AR457" s="150" t="s">
        <v>342</v>
      </c>
      <c r="AS457" s="21">
        <f t="shared" si="76"/>
        <v>0</v>
      </c>
      <c r="AT457" s="21">
        <f t="shared" si="77"/>
        <v>0</v>
      </c>
      <c r="AU457" s="21">
        <f t="shared" si="78"/>
        <v>0</v>
      </c>
    </row>
    <row r="458" spans="1:47" x14ac:dyDescent="0.25">
      <c r="A458" s="4" t="s">
        <v>332</v>
      </c>
      <c r="B458" s="4" t="s">
        <v>405</v>
      </c>
      <c r="C458" s="5" t="s">
        <v>521</v>
      </c>
      <c r="D458" s="151"/>
      <c r="E458" s="153"/>
      <c r="F458" s="151"/>
      <c r="G458" s="153"/>
      <c r="H458" s="151"/>
      <c r="I458" s="153"/>
      <c r="J458" s="151"/>
      <c r="K458" s="153"/>
      <c r="L458" s="151"/>
      <c r="M458" s="153"/>
      <c r="N458" s="151"/>
      <c r="O458" s="153"/>
      <c r="P458" s="151"/>
      <c r="Q458" s="153"/>
      <c r="R458" s="151"/>
      <c r="S458" s="153"/>
      <c r="T458" s="151"/>
      <c r="U458" s="153"/>
      <c r="V458" s="151"/>
      <c r="W458" s="153"/>
      <c r="X458" s="151"/>
      <c r="Y458" s="153"/>
      <c r="Z458" s="61">
        <f t="shared" si="73"/>
        <v>0</v>
      </c>
      <c r="AA458" s="75">
        <f t="shared" si="73"/>
        <v>0</v>
      </c>
      <c r="AB458" s="151"/>
      <c r="AC458" s="153"/>
      <c r="AD458" s="151">
        <v>1150</v>
      </c>
      <c r="AE458" s="153">
        <v>1150</v>
      </c>
      <c r="AF458" s="151"/>
      <c r="AG458" s="153"/>
      <c r="AH458" s="151"/>
      <c r="AI458" s="153"/>
      <c r="AJ458" s="151"/>
      <c r="AK458" s="153"/>
      <c r="AL458" s="151"/>
      <c r="AM458" s="153"/>
      <c r="AN458" s="151"/>
      <c r="AO458" s="153"/>
      <c r="AP458" s="61">
        <f t="shared" si="75"/>
        <v>1150</v>
      </c>
      <c r="AQ458" s="75">
        <f t="shared" si="75"/>
        <v>1150</v>
      </c>
      <c r="AR458" s="150" t="s">
        <v>342</v>
      </c>
      <c r="AS458" s="21">
        <f t="shared" si="76"/>
        <v>0</v>
      </c>
      <c r="AT458" s="21">
        <f t="shared" si="77"/>
        <v>0</v>
      </c>
      <c r="AU458" s="21">
        <f t="shared" si="78"/>
        <v>0</v>
      </c>
    </row>
    <row r="459" spans="1:47" x14ac:dyDescent="0.25">
      <c r="A459" s="4" t="s">
        <v>332</v>
      </c>
      <c r="B459" s="4" t="s">
        <v>406</v>
      </c>
      <c r="C459" s="5" t="s">
        <v>407</v>
      </c>
      <c r="D459" s="151"/>
      <c r="E459" s="153"/>
      <c r="F459" s="151"/>
      <c r="G459" s="153"/>
      <c r="H459" s="151"/>
      <c r="I459" s="153"/>
      <c r="J459" s="151"/>
      <c r="K459" s="153"/>
      <c r="L459" s="151"/>
      <c r="M459" s="153"/>
      <c r="N459" s="151"/>
      <c r="O459" s="153"/>
      <c r="P459" s="151"/>
      <c r="Q459" s="153"/>
      <c r="R459" s="151"/>
      <c r="S459" s="153"/>
      <c r="T459" s="151"/>
      <c r="U459" s="153"/>
      <c r="V459" s="151"/>
      <c r="W459" s="153"/>
      <c r="X459" s="151"/>
      <c r="Y459" s="153"/>
      <c r="Z459" s="61">
        <f t="shared" si="73"/>
        <v>0</v>
      </c>
      <c r="AA459" s="75">
        <f t="shared" si="73"/>
        <v>0</v>
      </c>
      <c r="AB459" s="151">
        <v>0</v>
      </c>
      <c r="AC459" s="153"/>
      <c r="AD459" s="151">
        <v>67200</v>
      </c>
      <c r="AE459" s="153">
        <v>55000</v>
      </c>
      <c r="AF459" s="151">
        <v>3500</v>
      </c>
      <c r="AG459" s="153">
        <v>3000</v>
      </c>
      <c r="AH459" s="151"/>
      <c r="AI459" s="153"/>
      <c r="AJ459" s="151"/>
      <c r="AK459" s="153"/>
      <c r="AL459" s="151">
        <v>75050</v>
      </c>
      <c r="AM459" s="153">
        <f>119050-AG459-AE459</f>
        <v>61050</v>
      </c>
      <c r="AN459" s="151"/>
      <c r="AO459" s="153"/>
      <c r="AP459" s="61">
        <f t="shared" si="75"/>
        <v>145750</v>
      </c>
      <c r="AQ459" s="75">
        <f t="shared" si="75"/>
        <v>119050</v>
      </c>
      <c r="AR459" s="150" t="s">
        <v>342</v>
      </c>
      <c r="AS459" s="21">
        <f t="shared" si="76"/>
        <v>-26700</v>
      </c>
      <c r="AT459" s="21">
        <f t="shared" si="77"/>
        <v>0</v>
      </c>
      <c r="AU459" s="21">
        <f t="shared" si="78"/>
        <v>-26700</v>
      </c>
    </row>
    <row r="460" spans="1:47" x14ac:dyDescent="0.25">
      <c r="A460" s="4" t="s">
        <v>332</v>
      </c>
      <c r="B460" s="4" t="s">
        <v>408</v>
      </c>
      <c r="C460" s="6" t="s">
        <v>379</v>
      </c>
      <c r="D460" s="151"/>
      <c r="E460" s="153"/>
      <c r="F460" s="151"/>
      <c r="G460" s="153"/>
      <c r="H460" s="151"/>
      <c r="I460" s="153"/>
      <c r="J460" s="151"/>
      <c r="K460" s="153"/>
      <c r="L460" s="151"/>
      <c r="M460" s="153"/>
      <c r="N460" s="151"/>
      <c r="O460" s="153"/>
      <c r="P460" s="151"/>
      <c r="Q460" s="153"/>
      <c r="R460" s="151"/>
      <c r="S460" s="153"/>
      <c r="T460" s="151"/>
      <c r="U460" s="153"/>
      <c r="V460" s="151"/>
      <c r="W460" s="153"/>
      <c r="X460" s="151"/>
      <c r="Y460" s="153"/>
      <c r="Z460" s="61">
        <f t="shared" si="73"/>
        <v>0</v>
      </c>
      <c r="AA460" s="75">
        <f t="shared" si="73"/>
        <v>0</v>
      </c>
      <c r="AB460" s="151"/>
      <c r="AC460" s="153"/>
      <c r="AD460" s="151">
        <v>39300</v>
      </c>
      <c r="AE460" s="153">
        <f>37410-AG460</f>
        <v>31410</v>
      </c>
      <c r="AF460" s="151">
        <v>6900</v>
      </c>
      <c r="AG460" s="153">
        <v>6000</v>
      </c>
      <c r="AH460" s="151"/>
      <c r="AI460" s="153"/>
      <c r="AJ460" s="151"/>
      <c r="AK460" s="153"/>
      <c r="AL460" s="151"/>
      <c r="AM460" s="153"/>
      <c r="AN460" s="151"/>
      <c r="AO460" s="153"/>
      <c r="AP460" s="61">
        <f t="shared" si="75"/>
        <v>46200</v>
      </c>
      <c r="AQ460" s="75">
        <f t="shared" si="75"/>
        <v>37410</v>
      </c>
      <c r="AR460" s="150" t="s">
        <v>342</v>
      </c>
      <c r="AS460" s="21">
        <f t="shared" si="76"/>
        <v>-8790</v>
      </c>
      <c r="AT460" s="21">
        <f t="shared" si="77"/>
        <v>0</v>
      </c>
      <c r="AU460" s="21">
        <f t="shared" si="78"/>
        <v>-8790</v>
      </c>
    </row>
    <row r="461" spans="1:47" ht="26.25" x14ac:dyDescent="0.25">
      <c r="A461" s="4" t="s">
        <v>332</v>
      </c>
      <c r="B461" s="4" t="s">
        <v>409</v>
      </c>
      <c r="C461" s="154" t="s">
        <v>60</v>
      </c>
      <c r="D461" s="151"/>
      <c r="E461" s="153"/>
      <c r="F461" s="151"/>
      <c r="G461" s="153"/>
      <c r="H461" s="151"/>
      <c r="I461" s="153"/>
      <c r="J461" s="151"/>
      <c r="K461" s="153"/>
      <c r="L461" s="151"/>
      <c r="M461" s="153"/>
      <c r="N461" s="151"/>
      <c r="O461" s="153"/>
      <c r="P461" s="151"/>
      <c r="Q461" s="153"/>
      <c r="R461" s="151"/>
      <c r="S461" s="153"/>
      <c r="T461" s="151"/>
      <c r="U461" s="153"/>
      <c r="V461" s="151"/>
      <c r="W461" s="153"/>
      <c r="X461" s="151"/>
      <c r="Y461" s="153"/>
      <c r="Z461" s="61">
        <f t="shared" si="73"/>
        <v>0</v>
      </c>
      <c r="AA461" s="75">
        <f t="shared" si="73"/>
        <v>0</v>
      </c>
      <c r="AB461" s="151"/>
      <c r="AC461" s="153"/>
      <c r="AD461" s="151"/>
      <c r="AE461" s="153">
        <v>24700</v>
      </c>
      <c r="AF461" s="151"/>
      <c r="AG461" s="153">
        <v>15000</v>
      </c>
      <c r="AH461" s="151"/>
      <c r="AI461" s="153"/>
      <c r="AJ461" s="151"/>
      <c r="AK461" s="153">
        <v>10000</v>
      </c>
      <c r="AL461" s="151"/>
      <c r="AM461" s="153"/>
      <c r="AN461" s="151"/>
      <c r="AO461" s="153"/>
      <c r="AP461" s="61">
        <f t="shared" si="75"/>
        <v>0</v>
      </c>
      <c r="AQ461" s="75">
        <f t="shared" si="75"/>
        <v>49700</v>
      </c>
      <c r="AR461" s="150"/>
      <c r="AS461" s="21">
        <f t="shared" si="76"/>
        <v>49700</v>
      </c>
      <c r="AT461" s="21">
        <f t="shared" si="77"/>
        <v>0</v>
      </c>
      <c r="AU461" s="21">
        <f t="shared" si="78"/>
        <v>49700</v>
      </c>
    </row>
    <row r="462" spans="1:47" ht="27" customHeight="1" x14ac:dyDescent="0.25">
      <c r="A462" s="4" t="s">
        <v>332</v>
      </c>
      <c r="B462" s="4" t="s">
        <v>410</v>
      </c>
      <c r="C462" s="6" t="s">
        <v>379</v>
      </c>
      <c r="D462" s="151"/>
      <c r="E462" s="153"/>
      <c r="F462" s="151"/>
      <c r="G462" s="153"/>
      <c r="H462" s="151"/>
      <c r="I462" s="153"/>
      <c r="J462" s="151"/>
      <c r="K462" s="153"/>
      <c r="L462" s="151"/>
      <c r="M462" s="153"/>
      <c r="N462" s="151"/>
      <c r="O462" s="153"/>
      <c r="P462" s="151"/>
      <c r="Q462" s="153"/>
      <c r="R462" s="151"/>
      <c r="S462" s="153"/>
      <c r="T462" s="151"/>
      <c r="U462" s="153"/>
      <c r="V462" s="151"/>
      <c r="W462" s="153"/>
      <c r="X462" s="151"/>
      <c r="Y462" s="153"/>
      <c r="Z462" s="61">
        <f t="shared" si="73"/>
        <v>0</v>
      </c>
      <c r="AA462" s="75">
        <f t="shared" si="73"/>
        <v>0</v>
      </c>
      <c r="AB462" s="151"/>
      <c r="AC462" s="153"/>
      <c r="AD462" s="151">
        <v>45000</v>
      </c>
      <c r="AE462" s="153">
        <v>0</v>
      </c>
      <c r="AF462" s="151"/>
      <c r="AG462" s="153"/>
      <c r="AH462" s="151"/>
      <c r="AI462" s="153"/>
      <c r="AJ462" s="151"/>
      <c r="AK462" s="153"/>
      <c r="AL462" s="151"/>
      <c r="AM462" s="153"/>
      <c r="AN462" s="151"/>
      <c r="AO462" s="153"/>
      <c r="AP462" s="61">
        <f t="shared" si="75"/>
        <v>45000</v>
      </c>
      <c r="AQ462" s="75">
        <f t="shared" si="75"/>
        <v>0</v>
      </c>
      <c r="AR462" s="150" t="s">
        <v>342</v>
      </c>
      <c r="AS462" s="21">
        <f t="shared" si="76"/>
        <v>-45000</v>
      </c>
      <c r="AT462" s="21">
        <f t="shared" si="77"/>
        <v>0</v>
      </c>
      <c r="AU462" s="21">
        <f t="shared" si="78"/>
        <v>-45000</v>
      </c>
    </row>
    <row r="463" spans="1:47" x14ac:dyDescent="0.25">
      <c r="A463" s="4" t="s">
        <v>332</v>
      </c>
      <c r="B463" s="4" t="s">
        <v>411</v>
      </c>
      <c r="C463" s="6" t="s">
        <v>311</v>
      </c>
      <c r="D463" s="151"/>
      <c r="E463" s="153"/>
      <c r="F463" s="151"/>
      <c r="G463" s="153"/>
      <c r="H463" s="151"/>
      <c r="I463" s="153"/>
      <c r="J463" s="151"/>
      <c r="K463" s="153"/>
      <c r="L463" s="151"/>
      <c r="M463" s="153"/>
      <c r="N463" s="151"/>
      <c r="O463" s="153"/>
      <c r="P463" s="151"/>
      <c r="Q463" s="153"/>
      <c r="R463" s="151"/>
      <c r="S463" s="153"/>
      <c r="T463" s="151"/>
      <c r="U463" s="153"/>
      <c r="V463" s="151"/>
      <c r="W463" s="153"/>
      <c r="X463" s="151"/>
      <c r="Y463" s="153"/>
      <c r="Z463" s="61">
        <f t="shared" si="73"/>
        <v>0</v>
      </c>
      <c r="AA463" s="75">
        <f t="shared" si="73"/>
        <v>0</v>
      </c>
      <c r="AB463" s="151"/>
      <c r="AC463" s="153"/>
      <c r="AD463" s="151"/>
      <c r="AE463" s="153"/>
      <c r="AF463" s="151"/>
      <c r="AG463" s="153"/>
      <c r="AH463" s="151"/>
      <c r="AI463" s="153"/>
      <c r="AJ463" s="151"/>
      <c r="AK463" s="153"/>
      <c r="AL463" s="151">
        <v>10000</v>
      </c>
      <c r="AM463" s="153">
        <v>10000</v>
      </c>
      <c r="AN463" s="151"/>
      <c r="AO463" s="153"/>
      <c r="AP463" s="61">
        <f t="shared" si="75"/>
        <v>10000</v>
      </c>
      <c r="AQ463" s="75">
        <f t="shared" si="75"/>
        <v>10000</v>
      </c>
      <c r="AR463" s="150"/>
      <c r="AS463" s="21">
        <f t="shared" si="76"/>
        <v>0</v>
      </c>
      <c r="AT463" s="21">
        <f t="shared" si="77"/>
        <v>0</v>
      </c>
      <c r="AU463" s="21">
        <f t="shared" si="78"/>
        <v>0</v>
      </c>
    </row>
    <row r="464" spans="1:47" ht="26.25" x14ac:dyDescent="0.25">
      <c r="A464" s="4" t="s">
        <v>332</v>
      </c>
      <c r="B464" s="4" t="s">
        <v>412</v>
      </c>
      <c r="C464" s="5" t="s">
        <v>82</v>
      </c>
      <c r="D464" s="151"/>
      <c r="E464" s="153"/>
      <c r="F464" s="151"/>
      <c r="G464" s="153"/>
      <c r="H464" s="151"/>
      <c r="I464" s="153"/>
      <c r="J464" s="151"/>
      <c r="K464" s="153"/>
      <c r="L464" s="151"/>
      <c r="M464" s="153"/>
      <c r="N464" s="151"/>
      <c r="O464" s="153"/>
      <c r="P464" s="151"/>
      <c r="Q464" s="153"/>
      <c r="R464" s="151"/>
      <c r="S464" s="153"/>
      <c r="T464" s="151">
        <v>212293</v>
      </c>
      <c r="U464" s="153">
        <v>212293</v>
      </c>
      <c r="V464" s="151"/>
      <c r="W464" s="153"/>
      <c r="X464" s="151"/>
      <c r="Y464" s="153"/>
      <c r="Z464" s="61">
        <f t="shared" si="73"/>
        <v>212293</v>
      </c>
      <c r="AA464" s="75">
        <f t="shared" si="73"/>
        <v>212293</v>
      </c>
      <c r="AB464" s="151"/>
      <c r="AC464" s="153"/>
      <c r="AD464" s="151"/>
      <c r="AE464" s="153"/>
      <c r="AF464" s="151"/>
      <c r="AG464" s="153"/>
      <c r="AH464" s="151"/>
      <c r="AI464" s="153"/>
      <c r="AJ464" s="151"/>
      <c r="AK464" s="153"/>
      <c r="AL464" s="151"/>
      <c r="AM464" s="153"/>
      <c r="AN464" s="151"/>
      <c r="AO464" s="153"/>
      <c r="AP464" s="61">
        <f t="shared" si="75"/>
        <v>212293</v>
      </c>
      <c r="AQ464" s="75">
        <f t="shared" si="75"/>
        <v>212293</v>
      </c>
      <c r="AR464" s="150" t="s">
        <v>80</v>
      </c>
      <c r="AS464" s="21">
        <f t="shared" si="76"/>
        <v>0</v>
      </c>
      <c r="AT464" s="21">
        <f t="shared" si="77"/>
        <v>0</v>
      </c>
      <c r="AU464" s="21">
        <f t="shared" si="78"/>
        <v>0</v>
      </c>
    </row>
    <row r="465" spans="1:47" ht="39" x14ac:dyDescent="0.25">
      <c r="A465" s="4" t="s">
        <v>332</v>
      </c>
      <c r="B465" s="4" t="s">
        <v>413</v>
      </c>
      <c r="C465" s="5" t="s">
        <v>82</v>
      </c>
      <c r="D465" s="151">
        <v>589371</v>
      </c>
      <c r="E465" s="153">
        <v>618886</v>
      </c>
      <c r="F465" s="151"/>
      <c r="G465" s="153"/>
      <c r="H465" s="151"/>
      <c r="I465" s="153"/>
      <c r="J465" s="151"/>
      <c r="K465" s="153"/>
      <c r="L465" s="151"/>
      <c r="M465" s="153"/>
      <c r="N465" s="151"/>
      <c r="O465" s="153"/>
      <c r="P465" s="151"/>
      <c r="Q465" s="153"/>
      <c r="R465" s="151"/>
      <c r="S465" s="153"/>
      <c r="T465" s="151"/>
      <c r="U465" s="153"/>
      <c r="V465" s="151"/>
      <c r="W465" s="153"/>
      <c r="X465" s="151"/>
      <c r="Y465" s="153"/>
      <c r="Z465" s="61">
        <f t="shared" si="73"/>
        <v>589371</v>
      </c>
      <c r="AA465" s="75">
        <f t="shared" si="73"/>
        <v>618886</v>
      </c>
      <c r="AB465" s="151"/>
      <c r="AC465" s="153"/>
      <c r="AD465" s="151"/>
      <c r="AE465" s="153"/>
      <c r="AF465" s="151"/>
      <c r="AG465" s="153"/>
      <c r="AH465" s="151"/>
      <c r="AI465" s="153"/>
      <c r="AJ465" s="151"/>
      <c r="AK465" s="153"/>
      <c r="AL465" s="151"/>
      <c r="AM465" s="153"/>
      <c r="AN465" s="151"/>
      <c r="AO465" s="153"/>
      <c r="AP465" s="61">
        <f t="shared" si="75"/>
        <v>589371</v>
      </c>
      <c r="AQ465" s="75">
        <f t="shared" si="75"/>
        <v>618886</v>
      </c>
      <c r="AR465" s="150" t="s">
        <v>80</v>
      </c>
      <c r="AS465" s="21">
        <f t="shared" si="76"/>
        <v>29515</v>
      </c>
      <c r="AT465" s="21">
        <f t="shared" si="77"/>
        <v>29515</v>
      </c>
      <c r="AU465" s="21">
        <f t="shared" si="78"/>
        <v>0</v>
      </c>
    </row>
    <row r="466" spans="1:47" x14ac:dyDescent="0.25">
      <c r="A466" s="4" t="s">
        <v>332</v>
      </c>
      <c r="B466" s="4" t="s">
        <v>414</v>
      </c>
      <c r="C466" s="5" t="s">
        <v>60</v>
      </c>
      <c r="D466" s="151"/>
      <c r="E466" s="153"/>
      <c r="F466" s="151"/>
      <c r="G466" s="153"/>
      <c r="H466" s="151"/>
      <c r="I466" s="153"/>
      <c r="J466" s="151"/>
      <c r="K466" s="153"/>
      <c r="L466" s="151"/>
      <c r="M466" s="153"/>
      <c r="N466" s="151"/>
      <c r="O466" s="153"/>
      <c r="P466" s="151"/>
      <c r="Q466" s="153"/>
      <c r="R466" s="151"/>
      <c r="S466" s="153"/>
      <c r="T466" s="151"/>
      <c r="U466" s="153"/>
      <c r="V466" s="151"/>
      <c r="W466" s="153"/>
      <c r="X466" s="151"/>
      <c r="Y466" s="153"/>
      <c r="Z466" s="61">
        <f t="shared" si="73"/>
        <v>0</v>
      </c>
      <c r="AA466" s="75">
        <f t="shared" si="73"/>
        <v>0</v>
      </c>
      <c r="AB466" s="151"/>
      <c r="AC466" s="153"/>
      <c r="AD466" s="151">
        <v>9135</v>
      </c>
      <c r="AE466" s="153">
        <v>8135</v>
      </c>
      <c r="AF466" s="151"/>
      <c r="AG466" s="153"/>
      <c r="AH466" s="151"/>
      <c r="AI466" s="153"/>
      <c r="AJ466" s="151"/>
      <c r="AK466" s="153"/>
      <c r="AL466" s="151"/>
      <c r="AM466" s="153"/>
      <c r="AN466" s="151"/>
      <c r="AO466" s="153"/>
      <c r="AP466" s="61">
        <f t="shared" si="75"/>
        <v>9135</v>
      </c>
      <c r="AQ466" s="75">
        <f t="shared" si="75"/>
        <v>8135</v>
      </c>
      <c r="AR466" s="150" t="s">
        <v>314</v>
      </c>
      <c r="AS466" s="21">
        <f t="shared" si="76"/>
        <v>-1000</v>
      </c>
      <c r="AT466" s="21">
        <f t="shared" si="77"/>
        <v>0</v>
      </c>
      <c r="AU466" s="21">
        <f t="shared" si="78"/>
        <v>-1000</v>
      </c>
    </row>
    <row r="467" spans="1:47" x14ac:dyDescent="0.25">
      <c r="A467" s="4" t="s">
        <v>332</v>
      </c>
      <c r="B467" s="4" t="s">
        <v>415</v>
      </c>
      <c r="C467" s="7" t="s">
        <v>60</v>
      </c>
      <c r="D467" s="151"/>
      <c r="E467" s="153"/>
      <c r="F467" s="151"/>
      <c r="G467" s="153"/>
      <c r="H467" s="151"/>
      <c r="I467" s="97">
        <f>9065+1000</f>
        <v>10065</v>
      </c>
      <c r="J467" s="151"/>
      <c r="K467" s="97">
        <v>500</v>
      </c>
      <c r="L467" s="151"/>
      <c r="M467" s="97">
        <f>2600+150</f>
        <v>2750</v>
      </c>
      <c r="N467" s="151"/>
      <c r="O467" s="97">
        <v>200</v>
      </c>
      <c r="P467" s="151"/>
      <c r="Q467" s="153"/>
      <c r="R467" s="151"/>
      <c r="S467" s="153"/>
      <c r="T467" s="151"/>
      <c r="U467" s="153"/>
      <c r="V467" s="151"/>
      <c r="W467" s="153"/>
      <c r="X467" s="151"/>
      <c r="Y467" s="153"/>
      <c r="Z467" s="61">
        <f t="shared" si="73"/>
        <v>0</v>
      </c>
      <c r="AA467" s="75">
        <f t="shared" si="73"/>
        <v>13515</v>
      </c>
      <c r="AB467" s="151"/>
      <c r="AC467" s="153"/>
      <c r="AD467" s="151"/>
      <c r="AE467" s="97">
        <f>21000+300</f>
        <v>21300</v>
      </c>
      <c r="AF467" s="62"/>
      <c r="AG467" s="97">
        <f>40000+600</f>
        <v>40600</v>
      </c>
      <c r="AH467" s="62"/>
      <c r="AI467" s="73"/>
      <c r="AJ467" s="62"/>
      <c r="AK467" s="73"/>
      <c r="AL467" s="62"/>
      <c r="AM467" s="97">
        <v>39000</v>
      </c>
      <c r="AN467" s="151"/>
      <c r="AO467" s="153"/>
      <c r="AP467" s="61">
        <f t="shared" si="75"/>
        <v>0</v>
      </c>
      <c r="AQ467" s="75">
        <f t="shared" si="75"/>
        <v>114415</v>
      </c>
      <c r="AR467" s="150"/>
      <c r="AS467" s="21">
        <f t="shared" si="76"/>
        <v>114415</v>
      </c>
      <c r="AT467" s="21">
        <f t="shared" si="77"/>
        <v>0</v>
      </c>
      <c r="AU467" s="21">
        <f t="shared" si="78"/>
        <v>114415</v>
      </c>
    </row>
    <row r="468" spans="1:47" x14ac:dyDescent="0.25">
      <c r="A468" s="4" t="s">
        <v>332</v>
      </c>
      <c r="B468" s="4" t="s">
        <v>105</v>
      </c>
      <c r="C468" s="6"/>
      <c r="D468" s="151">
        <v>36848</v>
      </c>
      <c r="E468" s="153">
        <v>38997</v>
      </c>
      <c r="F468" s="151"/>
      <c r="G468" s="153"/>
      <c r="H468" s="151"/>
      <c r="I468" s="153"/>
      <c r="J468" s="151"/>
      <c r="K468" s="153"/>
      <c r="L468" s="151"/>
      <c r="M468" s="153"/>
      <c r="N468" s="151"/>
      <c r="O468" s="153"/>
      <c r="P468" s="151"/>
      <c r="Q468" s="153"/>
      <c r="R468" s="151"/>
      <c r="S468" s="153"/>
      <c r="T468" s="151"/>
      <c r="U468" s="153"/>
      <c r="V468" s="151"/>
      <c r="W468" s="153"/>
      <c r="X468" s="151"/>
      <c r="Y468" s="153"/>
      <c r="Z468" s="61">
        <f t="shared" si="73"/>
        <v>36848</v>
      </c>
      <c r="AA468" s="75">
        <f t="shared" si="73"/>
        <v>38997</v>
      </c>
      <c r="AB468" s="151"/>
      <c r="AC468" s="153"/>
      <c r="AD468" s="151"/>
      <c r="AE468" s="153"/>
      <c r="AF468" s="151"/>
      <c r="AG468" s="153"/>
      <c r="AH468" s="151"/>
      <c r="AI468" s="153"/>
      <c r="AJ468" s="151"/>
      <c r="AK468" s="153"/>
      <c r="AL468" s="151"/>
      <c r="AM468" s="153"/>
      <c r="AN468" s="151"/>
      <c r="AO468" s="153"/>
      <c r="AP468" s="61">
        <f t="shared" si="75"/>
        <v>36848</v>
      </c>
      <c r="AQ468" s="75">
        <f t="shared" si="75"/>
        <v>38997</v>
      </c>
      <c r="AR468" s="150" t="s">
        <v>342</v>
      </c>
      <c r="AS468" s="21">
        <f t="shared" si="76"/>
        <v>2149</v>
      </c>
      <c r="AT468" s="21">
        <f t="shared" si="77"/>
        <v>2149</v>
      </c>
      <c r="AU468" s="21">
        <f t="shared" si="78"/>
        <v>0</v>
      </c>
    </row>
    <row r="469" spans="1:47" ht="26.25" x14ac:dyDescent="0.25">
      <c r="A469" s="4" t="s">
        <v>332</v>
      </c>
      <c r="B469" s="4" t="s">
        <v>416</v>
      </c>
      <c r="C469" s="6"/>
      <c r="D469" s="151">
        <f>38562+13398+1117</f>
        <v>53077</v>
      </c>
      <c r="E469" s="153">
        <v>53077</v>
      </c>
      <c r="F469" s="151"/>
      <c r="G469" s="153"/>
      <c r="H469" s="151"/>
      <c r="I469" s="153"/>
      <c r="J469" s="151"/>
      <c r="K469" s="153"/>
      <c r="L469" s="151"/>
      <c r="M469" s="153"/>
      <c r="N469" s="151"/>
      <c r="O469" s="153"/>
      <c r="P469" s="151"/>
      <c r="Q469" s="153"/>
      <c r="R469" s="151"/>
      <c r="S469" s="153"/>
      <c r="T469" s="151"/>
      <c r="U469" s="153"/>
      <c r="V469" s="151"/>
      <c r="W469" s="153"/>
      <c r="X469" s="151"/>
      <c r="Y469" s="153"/>
      <c r="Z469" s="61">
        <f t="shared" si="73"/>
        <v>53077</v>
      </c>
      <c r="AA469" s="75">
        <f t="shared" si="73"/>
        <v>53077</v>
      </c>
      <c r="AB469" s="151"/>
      <c r="AC469" s="153"/>
      <c r="AD469" s="151"/>
      <c r="AE469" s="153"/>
      <c r="AF469" s="151"/>
      <c r="AG469" s="153"/>
      <c r="AH469" s="151"/>
      <c r="AI469" s="153"/>
      <c r="AJ469" s="151"/>
      <c r="AK469" s="153"/>
      <c r="AL469" s="151"/>
      <c r="AM469" s="153"/>
      <c r="AN469" s="151"/>
      <c r="AO469" s="153"/>
      <c r="AP469" s="61">
        <f t="shared" si="75"/>
        <v>53077</v>
      </c>
      <c r="AQ469" s="75">
        <f t="shared" si="75"/>
        <v>53077</v>
      </c>
      <c r="AR469" s="150" t="s">
        <v>342</v>
      </c>
      <c r="AS469" s="21">
        <f t="shared" si="76"/>
        <v>0</v>
      </c>
      <c r="AT469" s="21">
        <f t="shared" si="77"/>
        <v>0</v>
      </c>
      <c r="AU469" s="21">
        <f t="shared" si="78"/>
        <v>0</v>
      </c>
    </row>
    <row r="470" spans="1:47" x14ac:dyDescent="0.25">
      <c r="A470" s="4" t="s">
        <v>332</v>
      </c>
      <c r="B470" s="4" t="s">
        <v>106</v>
      </c>
      <c r="C470" s="5"/>
      <c r="D470" s="151">
        <v>38383</v>
      </c>
      <c r="E470" s="153">
        <v>40622</v>
      </c>
      <c r="F470" s="151"/>
      <c r="G470" s="153"/>
      <c r="H470" s="151"/>
      <c r="I470" s="153"/>
      <c r="J470" s="151"/>
      <c r="K470" s="153"/>
      <c r="L470" s="151"/>
      <c r="M470" s="153"/>
      <c r="N470" s="151"/>
      <c r="O470" s="153"/>
      <c r="P470" s="151"/>
      <c r="Q470" s="153"/>
      <c r="R470" s="151"/>
      <c r="S470" s="153"/>
      <c r="T470" s="151"/>
      <c r="U470" s="153"/>
      <c r="V470" s="151"/>
      <c r="W470" s="153"/>
      <c r="X470" s="151"/>
      <c r="Y470" s="153"/>
      <c r="Z470" s="61">
        <f t="shared" si="73"/>
        <v>38383</v>
      </c>
      <c r="AA470" s="75">
        <f t="shared" si="73"/>
        <v>40622</v>
      </c>
      <c r="AB470" s="151"/>
      <c r="AC470" s="153"/>
      <c r="AD470" s="151"/>
      <c r="AE470" s="153"/>
      <c r="AF470" s="151"/>
      <c r="AG470" s="153"/>
      <c r="AH470" s="151"/>
      <c r="AI470" s="153"/>
      <c r="AJ470" s="151"/>
      <c r="AK470" s="153"/>
      <c r="AL470" s="151"/>
      <c r="AM470" s="153"/>
      <c r="AN470" s="151"/>
      <c r="AO470" s="153"/>
      <c r="AP470" s="61">
        <f t="shared" si="75"/>
        <v>38383</v>
      </c>
      <c r="AQ470" s="75">
        <f t="shared" si="75"/>
        <v>40622</v>
      </c>
      <c r="AR470" s="150" t="s">
        <v>342</v>
      </c>
      <c r="AS470" s="21">
        <f t="shared" si="76"/>
        <v>2239</v>
      </c>
      <c r="AT470" s="21">
        <f t="shared" si="77"/>
        <v>2239</v>
      </c>
      <c r="AU470" s="21">
        <f t="shared" si="78"/>
        <v>0</v>
      </c>
    </row>
    <row r="471" spans="1:47" ht="32.25" customHeight="1" collapsed="1" x14ac:dyDescent="0.25">
      <c r="A471" s="16" t="s">
        <v>417</v>
      </c>
      <c r="B471" s="16" t="s">
        <v>108</v>
      </c>
      <c r="C471" s="16"/>
      <c r="D471" s="16">
        <f t="shared" ref="D471:AQ471" si="79">SUM(D397:D470)</f>
        <v>2655991</v>
      </c>
      <c r="E471" s="16">
        <f t="shared" si="79"/>
        <v>2890001</v>
      </c>
      <c r="F471" s="16">
        <f t="shared" si="79"/>
        <v>35612</v>
      </c>
      <c r="G471" s="16">
        <f t="shared" si="79"/>
        <v>35232</v>
      </c>
      <c r="H471" s="16">
        <f t="shared" si="79"/>
        <v>37300</v>
      </c>
      <c r="I471" s="16">
        <f t="shared" si="79"/>
        <v>48165</v>
      </c>
      <c r="J471" s="16">
        <f t="shared" si="79"/>
        <v>12100</v>
      </c>
      <c r="K471" s="16">
        <f t="shared" si="79"/>
        <v>14000</v>
      </c>
      <c r="L471" s="16">
        <f t="shared" si="79"/>
        <v>41350</v>
      </c>
      <c r="M471" s="16">
        <f t="shared" si="79"/>
        <v>43700</v>
      </c>
      <c r="N471" s="16">
        <f t="shared" si="79"/>
        <v>8310</v>
      </c>
      <c r="O471" s="16">
        <f t="shared" si="79"/>
        <v>8300</v>
      </c>
      <c r="P471" s="16">
        <f t="shared" si="79"/>
        <v>0</v>
      </c>
      <c r="Q471" s="16">
        <f t="shared" si="79"/>
        <v>0</v>
      </c>
      <c r="R471" s="16">
        <f t="shared" si="79"/>
        <v>20800</v>
      </c>
      <c r="S471" s="16">
        <f t="shared" si="79"/>
        <v>22480</v>
      </c>
      <c r="T471" s="16">
        <f t="shared" si="79"/>
        <v>218057</v>
      </c>
      <c r="U471" s="16">
        <f t="shared" si="79"/>
        <v>219954</v>
      </c>
      <c r="V471" s="16">
        <f t="shared" si="79"/>
        <v>0</v>
      </c>
      <c r="W471" s="16">
        <f t="shared" si="79"/>
        <v>0</v>
      </c>
      <c r="X471" s="16">
        <f t="shared" si="79"/>
        <v>2000</v>
      </c>
      <c r="Y471" s="16">
        <f t="shared" si="79"/>
        <v>2000</v>
      </c>
      <c r="Z471" s="16">
        <f t="shared" si="79"/>
        <v>3031520</v>
      </c>
      <c r="AA471" s="16">
        <f t="shared" si="79"/>
        <v>3283832</v>
      </c>
      <c r="AB471" s="16">
        <f t="shared" si="79"/>
        <v>9190</v>
      </c>
      <c r="AC471" s="16">
        <f t="shared" si="79"/>
        <v>7261</v>
      </c>
      <c r="AD471" s="16">
        <f t="shared" si="79"/>
        <v>3274553</v>
      </c>
      <c r="AE471" s="16">
        <f t="shared" si="79"/>
        <v>3107759</v>
      </c>
      <c r="AF471" s="16">
        <f t="shared" si="79"/>
        <v>226363</v>
      </c>
      <c r="AG471" s="16">
        <f t="shared" si="79"/>
        <v>244369</v>
      </c>
      <c r="AH471" s="16">
        <f t="shared" si="79"/>
        <v>0</v>
      </c>
      <c r="AI471" s="16">
        <f t="shared" si="79"/>
        <v>20000</v>
      </c>
      <c r="AJ471" s="16">
        <f t="shared" si="79"/>
        <v>113456</v>
      </c>
      <c r="AK471" s="16">
        <f t="shared" si="79"/>
        <v>12500</v>
      </c>
      <c r="AL471" s="16">
        <f t="shared" si="79"/>
        <v>1233595</v>
      </c>
      <c r="AM471" s="16">
        <f t="shared" si="79"/>
        <v>1474132</v>
      </c>
      <c r="AN471" s="16">
        <f t="shared" si="79"/>
        <v>499000</v>
      </c>
      <c r="AO471" s="16">
        <f t="shared" si="79"/>
        <v>649000</v>
      </c>
      <c r="AP471" s="16">
        <f t="shared" si="79"/>
        <v>8387677</v>
      </c>
      <c r="AQ471" s="16">
        <f t="shared" si="79"/>
        <v>8798853</v>
      </c>
      <c r="AR471" s="150"/>
      <c r="AS471" s="156">
        <f>SUM(AS397:AS470)</f>
        <v>411176</v>
      </c>
      <c r="AT471" s="156">
        <f>SUM(AT397:AT470)</f>
        <v>234010</v>
      </c>
      <c r="AU471" s="156">
        <f>SUM(AU397:AU470)</f>
        <v>177166</v>
      </c>
    </row>
    <row r="472" spans="1:47" s="15" customFormat="1" ht="30" customHeight="1" x14ac:dyDescent="0.25">
      <c r="A472" s="41"/>
      <c r="B472" s="41" t="s">
        <v>418</v>
      </c>
      <c r="C472" s="41"/>
      <c r="D472" s="41">
        <f t="shared" ref="D472:AQ472" si="80">D344+D396+D471</f>
        <v>11788292</v>
      </c>
      <c r="E472" s="41">
        <f t="shared" si="80"/>
        <v>12769030</v>
      </c>
      <c r="F472" s="41">
        <f t="shared" si="80"/>
        <v>103337</v>
      </c>
      <c r="G472" s="41">
        <f t="shared" si="80"/>
        <v>99925</v>
      </c>
      <c r="H472" s="41">
        <f t="shared" si="80"/>
        <v>643416</v>
      </c>
      <c r="I472" s="41">
        <f t="shared" si="80"/>
        <v>687452</v>
      </c>
      <c r="J472" s="41">
        <f t="shared" si="80"/>
        <v>132272</v>
      </c>
      <c r="K472" s="41">
        <f t="shared" si="80"/>
        <v>134826</v>
      </c>
      <c r="L472" s="41">
        <f t="shared" si="80"/>
        <v>515927</v>
      </c>
      <c r="M472" s="41">
        <f t="shared" si="80"/>
        <v>534266</v>
      </c>
      <c r="N472" s="41">
        <f t="shared" si="80"/>
        <v>97611</v>
      </c>
      <c r="O472" s="41">
        <f t="shared" si="80"/>
        <v>95777</v>
      </c>
      <c r="P472" s="41">
        <f t="shared" si="80"/>
        <v>189545</v>
      </c>
      <c r="Q472" s="41">
        <f t="shared" si="80"/>
        <v>158704</v>
      </c>
      <c r="R472" s="41">
        <f t="shared" si="80"/>
        <v>358861</v>
      </c>
      <c r="S472" s="41">
        <f t="shared" si="80"/>
        <v>339908</v>
      </c>
      <c r="T472" s="41">
        <f t="shared" si="80"/>
        <v>754653</v>
      </c>
      <c r="U472" s="41">
        <f t="shared" si="80"/>
        <v>756180</v>
      </c>
      <c r="V472" s="41">
        <f t="shared" si="80"/>
        <v>199693</v>
      </c>
      <c r="W472" s="41">
        <f t="shared" si="80"/>
        <v>187863</v>
      </c>
      <c r="X472" s="41">
        <f t="shared" si="80"/>
        <v>20722</v>
      </c>
      <c r="Y472" s="41">
        <f t="shared" si="80"/>
        <v>5808</v>
      </c>
      <c r="Z472" s="41">
        <f t="shared" si="80"/>
        <v>14804329</v>
      </c>
      <c r="AA472" s="41">
        <f t="shared" si="80"/>
        <v>15769739</v>
      </c>
      <c r="AB472" s="41">
        <f t="shared" si="80"/>
        <v>21430</v>
      </c>
      <c r="AC472" s="41">
        <f t="shared" si="80"/>
        <v>14861</v>
      </c>
      <c r="AD472" s="41">
        <f t="shared" si="80"/>
        <v>4226973</v>
      </c>
      <c r="AE472" s="41">
        <f t="shared" si="80"/>
        <v>3969174</v>
      </c>
      <c r="AF472" s="41">
        <f t="shared" si="80"/>
        <v>1091274</v>
      </c>
      <c r="AG472" s="41">
        <f t="shared" si="80"/>
        <v>1060430</v>
      </c>
      <c r="AH472" s="41">
        <f t="shared" si="80"/>
        <v>49052</v>
      </c>
      <c r="AI472" s="41">
        <f t="shared" si="80"/>
        <v>67631</v>
      </c>
      <c r="AJ472" s="41">
        <f t="shared" si="80"/>
        <v>123456</v>
      </c>
      <c r="AK472" s="41">
        <f t="shared" si="80"/>
        <v>12500</v>
      </c>
      <c r="AL472" s="41">
        <f t="shared" si="80"/>
        <v>1403627</v>
      </c>
      <c r="AM472" s="41">
        <f t="shared" si="80"/>
        <v>1641898</v>
      </c>
      <c r="AN472" s="41">
        <f t="shared" si="80"/>
        <v>501197</v>
      </c>
      <c r="AO472" s="41">
        <f t="shared" si="80"/>
        <v>652226</v>
      </c>
      <c r="AP472" s="41">
        <f t="shared" si="80"/>
        <v>22221338</v>
      </c>
      <c r="AQ472" s="41">
        <f t="shared" si="80"/>
        <v>23188459</v>
      </c>
      <c r="AR472" s="150"/>
      <c r="AS472" s="157">
        <f t="shared" si="76"/>
        <v>967121</v>
      </c>
      <c r="AT472" s="157">
        <f t="shared" si="77"/>
        <v>980738</v>
      </c>
      <c r="AU472" s="157">
        <f t="shared" si="78"/>
        <v>-13617</v>
      </c>
    </row>
    <row r="475" spans="1:47" x14ac:dyDescent="0.25">
      <c r="AP475" s="20"/>
      <c r="AQ475" s="20"/>
    </row>
    <row r="478" spans="1:47" x14ac:dyDescent="0.25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149"/>
    </row>
    <row r="479" spans="1:47" x14ac:dyDescent="0.25">
      <c r="W479" s="149"/>
      <c r="X479" s="149"/>
      <c r="Z479"/>
      <c r="AA479"/>
      <c r="AM479" s="149"/>
      <c r="AN479" s="149"/>
      <c r="AO479" s="149"/>
    </row>
    <row r="480" spans="1:47" x14ac:dyDescent="0.25">
      <c r="W480" s="149"/>
      <c r="X480" s="149"/>
      <c r="Z480"/>
      <c r="AA480"/>
      <c r="AM480" s="149"/>
      <c r="AN480" s="149"/>
      <c r="AO480" s="149"/>
    </row>
  </sheetData>
  <autoFilter ref="A6:AR472" xr:uid="{00000000-0009-0000-0000-000003000000}"/>
  <mergeCells count="4">
    <mergeCell ref="AN1:AR1"/>
    <mergeCell ref="AJ2:AR2"/>
    <mergeCell ref="AL3:AR3"/>
    <mergeCell ref="AL4:AR4"/>
  </mergeCells>
  <pageMargins left="0.7" right="0.7" top="0.75" bottom="0.75" header="0.3" footer="0.3"/>
  <pageSetup paperSize="9" scale="26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2:L214"/>
  <sheetViews>
    <sheetView topLeftCell="A143" zoomScaleNormal="100" workbookViewId="0">
      <selection activeCell="E164" sqref="E164:F164"/>
    </sheetView>
  </sheetViews>
  <sheetFormatPr defaultRowHeight="15" x14ac:dyDescent="0.25"/>
  <cols>
    <col min="1" max="1" width="39.140625" customWidth="1"/>
    <col min="2" max="2" width="16.140625" customWidth="1"/>
    <col min="3" max="3" width="20.5703125" customWidth="1"/>
    <col min="4" max="4" width="23.85546875" customWidth="1"/>
    <col min="5" max="5" width="16.42578125" customWidth="1"/>
    <col min="6" max="6" width="14.5703125" customWidth="1"/>
    <col min="7" max="8" width="13.42578125" customWidth="1"/>
    <col min="9" max="9" width="13.85546875" bestFit="1" customWidth="1"/>
    <col min="10" max="10" width="17.5703125" customWidth="1"/>
    <col min="11" max="11" width="15" customWidth="1"/>
    <col min="12" max="12" width="16.5703125" customWidth="1"/>
    <col min="13" max="13" width="12" customWidth="1"/>
    <col min="14" max="15" width="10.5703125" customWidth="1"/>
    <col min="16" max="16" width="10.28515625" customWidth="1"/>
    <col min="17" max="17" width="11.28515625" customWidth="1"/>
    <col min="18" max="18" width="10.140625" customWidth="1"/>
  </cols>
  <sheetData>
    <row r="2" spans="1:12" x14ac:dyDescent="0.25">
      <c r="A2" s="76" t="s">
        <v>577</v>
      </c>
      <c r="H2" s="76" t="s">
        <v>578</v>
      </c>
    </row>
    <row r="3" spans="1:12" ht="30" x14ac:dyDescent="0.25">
      <c r="A3" s="142" t="s">
        <v>6</v>
      </c>
      <c r="B3" s="50" t="s">
        <v>482</v>
      </c>
      <c r="C3" s="50" t="s">
        <v>483</v>
      </c>
      <c r="D3" s="142" t="s">
        <v>579</v>
      </c>
      <c r="E3" s="141" t="s">
        <v>580</v>
      </c>
      <c r="H3" s="142" t="s">
        <v>6</v>
      </c>
      <c r="I3" s="50" t="s">
        <v>482</v>
      </c>
      <c r="J3" s="50" t="s">
        <v>483</v>
      </c>
      <c r="K3" s="142" t="s">
        <v>579</v>
      </c>
      <c r="L3" s="141" t="s">
        <v>580</v>
      </c>
    </row>
    <row r="4" spans="1:12" x14ac:dyDescent="0.25">
      <c r="A4" s="99" t="s">
        <v>55</v>
      </c>
      <c r="B4" s="143">
        <f>SUMIF('Izdevumi (Pielikums Nr.1)'!A$8:A$560,analīzei!$A4,'Izdevumi (Pielikums Nr.1)'!AP$8:AP$560)</f>
        <v>694226</v>
      </c>
      <c r="C4" s="143">
        <f>SUMIF('Izdevumi (Pielikums Nr.1)'!$A$8:$A$561,analīzei!A4,'Izdevumi (Pielikums Nr.1)'!$AQ$8:$AQ$561)</f>
        <v>706120</v>
      </c>
      <c r="D4" s="143">
        <f>C4-B4</f>
        <v>11894</v>
      </c>
      <c r="E4" s="77">
        <f>D4/B4</f>
        <v>1.7132749277612765E-2</v>
      </c>
      <c r="H4" s="99" t="s">
        <v>55</v>
      </c>
      <c r="I4" s="143">
        <f>SUMIF('Izdevumi bez MD un ceļu f.'!A$8:A$470,analīzei!$H4,'Izdevumi bez MD un ceļu f.'!AP$8:AP$470)-G28</f>
        <v>196733</v>
      </c>
      <c r="J4" s="143">
        <f>SUMIF('Izdevumi bez MD un ceļu f.'!A$8:A$470,analīzei!$H4,'Izdevumi bez MD un ceļu f.'!AQ$8:AQ$470)-H28</f>
        <v>188587</v>
      </c>
      <c r="K4" s="143">
        <f>J4-I4</f>
        <v>-8146</v>
      </c>
      <c r="L4" s="77">
        <f>K4/I4</f>
        <v>-4.1406373104664697E-2</v>
      </c>
    </row>
    <row r="5" spans="1:12" x14ac:dyDescent="0.25">
      <c r="A5" s="28" t="s">
        <v>109</v>
      </c>
      <c r="B5" s="143">
        <f>SUMIF('Izdevumi (Pielikums Nr.1)'!A$8:A$560,analīzei!A5,'Izdevumi (Pielikums Nr.1)'!AP$8:AP$560)</f>
        <v>937735</v>
      </c>
      <c r="C5" s="143">
        <f>SUMIF('Izdevumi (Pielikums Nr.1)'!$A$8:$A$561,analīzei!A5,'Izdevumi (Pielikums Nr.1)'!$AQ$8:$AQ$561)</f>
        <v>1025643</v>
      </c>
      <c r="D5" s="143">
        <f t="shared" ref="D5:D19" si="0">C5-B5</f>
        <v>87908</v>
      </c>
      <c r="E5" s="77">
        <f t="shared" ref="E5:E20" si="1">D5/B5</f>
        <v>9.3745034577999112E-2</v>
      </c>
      <c r="H5" s="28" t="s">
        <v>109</v>
      </c>
      <c r="I5" s="143">
        <f>SUMIF('Izdevumi bez MD un ceļu f.'!A$8:A$470,analīzei!$H5,'Izdevumi bez MD un ceļu f.'!AP$8:AP$470)-G29</f>
        <v>273316</v>
      </c>
      <c r="J5" s="143">
        <f>SUMIF('Izdevumi bez MD un ceļu f.'!A$8:A$470,analīzei!$H5,'Izdevumi bez MD un ceļu f.'!AQ$8:AQ$470)-H29</f>
        <v>260749</v>
      </c>
      <c r="K5" s="143">
        <f t="shared" ref="K5:K19" si="2">J5-I5</f>
        <v>-12567</v>
      </c>
      <c r="L5" s="77">
        <f t="shared" ref="L5:L6" si="3">K5/I5</f>
        <v>-4.5979745057003613E-2</v>
      </c>
    </row>
    <row r="6" spans="1:12" x14ac:dyDescent="0.25">
      <c r="A6" s="28" t="s">
        <v>124</v>
      </c>
      <c r="B6" s="143">
        <f>SUMIF('Izdevumi (Pielikums Nr.1)'!A$8:A$560,analīzei!A6,'Izdevumi (Pielikums Nr.1)'!AP$8:AP$560)</f>
        <v>765794</v>
      </c>
      <c r="C6" s="143">
        <f>SUMIF('Izdevumi (Pielikums Nr.1)'!$A$8:$A$561,analīzei!A6,'Izdevumi (Pielikums Nr.1)'!$AQ$8:$AQ$561)</f>
        <v>762522</v>
      </c>
      <c r="D6" s="143">
        <f t="shared" si="0"/>
        <v>-3272</v>
      </c>
      <c r="E6" s="77">
        <f t="shared" si="1"/>
        <v>-4.2726895222474975E-3</v>
      </c>
      <c r="H6" s="28" t="s">
        <v>124</v>
      </c>
      <c r="I6" s="143">
        <f>SUMIF('Izdevumi bez MD un ceļu f.'!A$8:A$470,analīzei!$H6,'Izdevumi bez MD un ceļu f.'!AP$8:AP$470)-G30</f>
        <v>225662</v>
      </c>
      <c r="J6" s="143">
        <f>SUMIF('Izdevumi bez MD un ceļu f.'!A$8:A$470,analīzei!$H6,'Izdevumi bez MD un ceļu f.'!AQ$8:AQ$470)-H30</f>
        <v>213169</v>
      </c>
      <c r="K6" s="143">
        <f t="shared" si="2"/>
        <v>-12493</v>
      </c>
      <c r="L6" s="77">
        <f t="shared" si="3"/>
        <v>-5.5361558436954381E-2</v>
      </c>
    </row>
    <row r="7" spans="1:12" x14ac:dyDescent="0.25">
      <c r="A7" s="28" t="s">
        <v>133</v>
      </c>
      <c r="B7" s="143">
        <f>SUMIF('Izdevumi (Pielikums Nr.1)'!A$8:A$560,analīzei!A7,'Izdevumi (Pielikums Nr.1)'!AP$8:AP$560)</f>
        <v>1330298</v>
      </c>
      <c r="C7" s="143">
        <f>SUMIF('Izdevumi (Pielikums Nr.1)'!$A$8:$A$561,analīzei!A7,'Izdevumi (Pielikums Nr.1)'!$AQ$8:$AQ$561)</f>
        <v>1501224</v>
      </c>
      <c r="D7" s="143">
        <f t="shared" si="0"/>
        <v>170926</v>
      </c>
      <c r="E7" s="77">
        <f>D7/B7</f>
        <v>0.12848700065699564</v>
      </c>
      <c r="H7" s="28" t="s">
        <v>133</v>
      </c>
      <c r="I7" s="143">
        <f>SUMIF('Izdevumi bez MD un ceļu f.'!A$8:A$470,analīzei!$H7,'Izdevumi bez MD un ceļu f.'!AP$8:AP$470)-G31</f>
        <v>236136</v>
      </c>
      <c r="J7" s="143">
        <f>SUMIF('Izdevumi bez MD un ceļu f.'!A$8:A$470,analīzei!$H7,'Izdevumi bez MD un ceļu f.'!AQ$8:AQ$470)-H31</f>
        <v>233447</v>
      </c>
      <c r="K7" s="143">
        <f t="shared" si="2"/>
        <v>-2689</v>
      </c>
      <c r="L7" s="77">
        <f>K7/I7</f>
        <v>-1.1387505505302029E-2</v>
      </c>
    </row>
    <row r="8" spans="1:12" x14ac:dyDescent="0.25">
      <c r="A8" s="28" t="s">
        <v>149</v>
      </c>
      <c r="B8" s="143">
        <f>SUMIF('Izdevumi (Pielikums Nr.1)'!A$8:A$560,analīzei!A8,'Izdevumi (Pielikums Nr.1)'!AP$8:AP$560)</f>
        <v>925200</v>
      </c>
      <c r="C8" s="143">
        <f>SUMIF('Izdevumi (Pielikums Nr.1)'!$A$8:$A$561,analīzei!A8,'Izdevumi (Pielikums Nr.1)'!$AQ$8:$AQ$561)</f>
        <v>930346</v>
      </c>
      <c r="D8" s="143">
        <f t="shared" si="0"/>
        <v>5146</v>
      </c>
      <c r="E8" s="77">
        <f t="shared" si="1"/>
        <v>5.5620406398616514E-3</v>
      </c>
      <c r="H8" s="28" t="s">
        <v>149</v>
      </c>
      <c r="I8" s="143">
        <f>SUMIF('Izdevumi bez MD un ceļu f.'!A$8:A$470,analīzei!$H8,'Izdevumi bez MD un ceļu f.'!AP$8:AP$470)-G32</f>
        <v>299118</v>
      </c>
      <c r="J8" s="143">
        <f>SUMIF('Izdevumi bez MD un ceļu f.'!A$8:A$470,analīzei!$H8,'Izdevumi bez MD un ceļu f.'!AQ$8:AQ$470)-H32</f>
        <v>273573</v>
      </c>
      <c r="K8" s="143">
        <f t="shared" si="2"/>
        <v>-25545</v>
      </c>
      <c r="L8" s="77">
        <f t="shared" ref="L8:L19" si="4">K8/I8</f>
        <v>-8.5401079172767944E-2</v>
      </c>
    </row>
    <row r="9" spans="1:12" x14ac:dyDescent="0.25">
      <c r="A9" s="28" t="s">
        <v>175</v>
      </c>
      <c r="B9" s="143">
        <f>SUMIF('Izdevumi (Pielikums Nr.1)'!A$8:A$560,analīzei!A9,'Izdevumi (Pielikums Nr.1)'!AP$8:AP$560)</f>
        <v>372769</v>
      </c>
      <c r="C9" s="143">
        <f>SUMIF('Izdevumi (Pielikums Nr.1)'!$A$8:$A$561,analīzei!A9,'Izdevumi (Pielikums Nr.1)'!$AQ$8:$AQ$561)</f>
        <v>374639</v>
      </c>
      <c r="D9" s="143">
        <f t="shared" si="0"/>
        <v>1870</v>
      </c>
      <c r="E9" s="77">
        <f t="shared" si="1"/>
        <v>5.0165115661441806E-3</v>
      </c>
      <c r="H9" s="28" t="s">
        <v>175</v>
      </c>
      <c r="I9" s="143">
        <f>SUMIF('Izdevumi bez MD un ceļu f.'!A$8:A$470,analīzei!$H9,'Izdevumi bez MD un ceļu f.'!AP$8:AP$470)-G33</f>
        <v>87096</v>
      </c>
      <c r="J9" s="143">
        <f>SUMIF('Izdevumi bez MD un ceļu f.'!A$8:A$470,analīzei!$H9,'Izdevumi bez MD un ceļu f.'!AQ$8:AQ$470)-H33</f>
        <v>81997</v>
      </c>
      <c r="K9" s="143">
        <f t="shared" si="2"/>
        <v>-5099</v>
      </c>
      <c r="L9" s="77">
        <f t="shared" si="4"/>
        <v>-5.854459447046937E-2</v>
      </c>
    </row>
    <row r="10" spans="1:12" x14ac:dyDescent="0.25">
      <c r="A10" s="28" t="s">
        <v>185</v>
      </c>
      <c r="B10" s="143">
        <f>SUMIF('Izdevumi (Pielikums Nr.1)'!A$8:A$560,analīzei!A10,'Izdevumi (Pielikums Nr.1)'!AP$8:AP$560)</f>
        <v>1173356</v>
      </c>
      <c r="C10" s="143">
        <f>SUMIF('Izdevumi (Pielikums Nr.1)'!$A$8:$A$561,analīzei!A10,'Izdevumi (Pielikums Nr.1)'!$AQ$8:$AQ$561)</f>
        <v>1246385</v>
      </c>
      <c r="D10" s="143">
        <f t="shared" si="0"/>
        <v>73029</v>
      </c>
      <c r="E10" s="77">
        <f t="shared" si="1"/>
        <v>6.2239422647517036E-2</v>
      </c>
      <c r="H10" s="28" t="s">
        <v>185</v>
      </c>
      <c r="I10" s="143">
        <f>SUMIF('Izdevumi bez MD un ceļu f.'!A$8:A$470,analīzei!$H10,'Izdevumi bez MD un ceļu f.'!AP$8:AP$470)-G34</f>
        <v>343059</v>
      </c>
      <c r="J10" s="143">
        <f>SUMIF('Izdevumi bez MD un ceļu f.'!A$8:A$470,analīzei!$H10,'Izdevumi bez MD un ceļu f.'!AQ$8:AQ$470)-H34</f>
        <v>348639</v>
      </c>
      <c r="K10" s="143">
        <f t="shared" si="2"/>
        <v>5580</v>
      </c>
      <c r="L10" s="77">
        <f t="shared" si="4"/>
        <v>1.6265423731777917E-2</v>
      </c>
    </row>
    <row r="11" spans="1:12" x14ac:dyDescent="0.25">
      <c r="A11" s="28" t="s">
        <v>201</v>
      </c>
      <c r="B11" s="143">
        <f>SUMIF('Izdevumi (Pielikums Nr.1)'!A$8:A$560,analīzei!A11,'Izdevumi (Pielikums Nr.1)'!AP$8:AP$560)</f>
        <v>847467</v>
      </c>
      <c r="C11" s="143">
        <f>SUMIF('Izdevumi (Pielikums Nr.1)'!$A$8:$A$561,analīzei!A11,'Izdevumi (Pielikums Nr.1)'!$AQ$8:$AQ$561)</f>
        <v>910630</v>
      </c>
      <c r="D11" s="143">
        <f t="shared" si="0"/>
        <v>63163</v>
      </c>
      <c r="E11" s="77">
        <f t="shared" si="1"/>
        <v>7.4531515681436566E-2</v>
      </c>
      <c r="H11" s="28" t="s">
        <v>201</v>
      </c>
      <c r="I11" s="143">
        <f>SUMIF('Izdevumi bez MD un ceļu f.'!A$8:A$470,analīzei!$H11,'Izdevumi bez MD un ceļu f.'!AP$8:AP$470)-G35</f>
        <v>258314</v>
      </c>
      <c r="J11" s="143">
        <f>SUMIF('Izdevumi bez MD un ceļu f.'!A$8:A$470,analīzei!$H11,'Izdevumi bez MD un ceļu f.'!AQ$8:AQ$470)-H35</f>
        <v>252836</v>
      </c>
      <c r="K11" s="143">
        <f t="shared" si="2"/>
        <v>-5478</v>
      </c>
      <c r="L11" s="77">
        <f t="shared" si="4"/>
        <v>-2.1206748376007493E-2</v>
      </c>
    </row>
    <row r="12" spans="1:12" x14ac:dyDescent="0.25">
      <c r="A12" s="28" t="s">
        <v>214</v>
      </c>
      <c r="B12" s="143">
        <f>SUMIF('Izdevumi (Pielikums Nr.1)'!A$8:A$560,analīzei!A12,'Izdevumi (Pielikums Nr.1)'!AP$8:AP$560)</f>
        <v>726328</v>
      </c>
      <c r="C12" s="143">
        <f>SUMIF('Izdevumi (Pielikums Nr.1)'!$A$8:$A$561,analīzei!A12,'Izdevumi (Pielikums Nr.1)'!$AQ$8:$AQ$561)</f>
        <v>759382</v>
      </c>
      <c r="D12" s="143">
        <f t="shared" si="0"/>
        <v>33054</v>
      </c>
      <c r="E12" s="77">
        <f t="shared" si="1"/>
        <v>4.5508365366611229E-2</v>
      </c>
      <c r="H12" s="28" t="s">
        <v>214</v>
      </c>
      <c r="I12" s="143">
        <f>SUMIF('Izdevumi bez MD un ceļu f.'!A$8:A$470,analīzei!$H12,'Izdevumi bez MD un ceļu f.'!AP$8:AP$470)-G36</f>
        <v>250753</v>
      </c>
      <c r="J12" s="143">
        <f>SUMIF('Izdevumi bez MD un ceļu f.'!A$8:A$470,analīzei!$H12,'Izdevumi bez MD un ceļu f.'!AQ$8:AQ$470)-H36</f>
        <v>255565</v>
      </c>
      <c r="K12" s="143">
        <f t="shared" si="2"/>
        <v>4812</v>
      </c>
      <c r="L12" s="77">
        <f t="shared" si="4"/>
        <v>1.9190199120249808E-2</v>
      </c>
    </row>
    <row r="13" spans="1:12" x14ac:dyDescent="0.25">
      <c r="A13" s="28" t="s">
        <v>227</v>
      </c>
      <c r="B13" s="143">
        <f>SUMIF('Izdevumi (Pielikums Nr.1)'!A$8:A$560,analīzei!A13,'Izdevumi (Pielikums Nr.1)'!AP$8:AP$560)</f>
        <v>362835</v>
      </c>
      <c r="C13" s="143">
        <f>SUMIF('Izdevumi (Pielikums Nr.1)'!$A$8:$A$561,analīzei!A13,'Izdevumi (Pielikums Nr.1)'!$AQ$8:$AQ$561)</f>
        <v>359877</v>
      </c>
      <c r="D13" s="143">
        <f t="shared" si="0"/>
        <v>-2958</v>
      </c>
      <c r="E13" s="77">
        <f t="shared" si="1"/>
        <v>-8.1524659969407585E-3</v>
      </c>
      <c r="H13" s="28" t="s">
        <v>227</v>
      </c>
      <c r="I13" s="143">
        <f>SUMIF('Izdevumi bez MD un ceļu f.'!A$8:A$470,analīzei!$H13,'Izdevumi bez MD un ceļu f.'!AP$8:AP$470)-G37</f>
        <v>122209</v>
      </c>
      <c r="J13" s="143">
        <f>SUMIF('Izdevumi bez MD un ceļu f.'!A$8:A$470,analīzei!$H13,'Izdevumi bez MD un ceļu f.'!AQ$8:AQ$470)-H37</f>
        <v>119531</v>
      </c>
      <c r="K13" s="143">
        <f t="shared" si="2"/>
        <v>-2678</v>
      </c>
      <c r="L13" s="77">
        <f t="shared" si="4"/>
        <v>-2.1913279709350374E-2</v>
      </c>
    </row>
    <row r="14" spans="1:12" x14ac:dyDescent="0.25">
      <c r="A14" s="28" t="s">
        <v>231</v>
      </c>
      <c r="B14" s="143">
        <f>SUMIF('Izdevumi (Pielikums Nr.1)'!A$8:A$560,analīzei!A14,'Izdevumi (Pielikums Nr.1)'!AP$8:AP$560)</f>
        <v>624529</v>
      </c>
      <c r="C14" s="143">
        <f>SUMIF('Izdevumi (Pielikums Nr.1)'!$A$8:$A$561,analīzei!A14,'Izdevumi (Pielikums Nr.1)'!$AQ$8:$AQ$561)</f>
        <v>655072</v>
      </c>
      <c r="D14" s="143">
        <f t="shared" si="0"/>
        <v>30543</v>
      </c>
      <c r="E14" s="77">
        <f t="shared" si="1"/>
        <v>4.8905655301835466E-2</v>
      </c>
      <c r="H14" s="28" t="s">
        <v>231</v>
      </c>
      <c r="I14" s="143">
        <f>SUMIF('Izdevumi bez MD un ceļu f.'!A$8:A$470,analīzei!$H14,'Izdevumi bez MD un ceļu f.'!AP$8:AP$470)-G38</f>
        <v>184712</v>
      </c>
      <c r="J14" s="143">
        <f>SUMIF('Izdevumi bez MD un ceļu f.'!A$8:A$470,analīzei!$H14,'Izdevumi bez MD un ceļu f.'!AQ$8:AQ$470)-H38</f>
        <v>175316</v>
      </c>
      <c r="K14" s="143">
        <f t="shared" si="2"/>
        <v>-9396</v>
      </c>
      <c r="L14" s="77">
        <f t="shared" si="4"/>
        <v>-5.0868378881718565E-2</v>
      </c>
    </row>
    <row r="15" spans="1:12" x14ac:dyDescent="0.25">
      <c r="A15" s="28" t="s">
        <v>241</v>
      </c>
      <c r="B15" s="143">
        <f>SUMIF('Izdevumi (Pielikums Nr.1)'!A$8:A$560,analīzei!A15,'Izdevumi (Pielikums Nr.1)'!AP$8:AP$560)</f>
        <v>1001329</v>
      </c>
      <c r="C15" s="143">
        <f>SUMIF('Izdevumi (Pielikums Nr.1)'!$A$8:$A$561,analīzei!A15,'Izdevumi (Pielikums Nr.1)'!$AQ$8:$AQ$561)</f>
        <v>1023436</v>
      </c>
      <c r="D15" s="143">
        <f t="shared" si="0"/>
        <v>22107</v>
      </c>
      <c r="E15" s="77">
        <f t="shared" si="1"/>
        <v>2.2077658791466143E-2</v>
      </c>
      <c r="H15" s="28" t="s">
        <v>241</v>
      </c>
      <c r="I15" s="143">
        <f>SUMIF('Izdevumi bez MD un ceļu f.'!A$8:A$470,analīzei!$H15,'Izdevumi bez MD un ceļu f.'!AP$8:AP$470)-G39</f>
        <v>238557</v>
      </c>
      <c r="J15" s="143">
        <f>SUMIF('Izdevumi bez MD un ceļu f.'!A$8:A$470,analīzei!$H15,'Izdevumi bez MD un ceļu f.'!AQ$8:AQ$470)-H39</f>
        <v>237990</v>
      </c>
      <c r="K15" s="143">
        <f t="shared" si="2"/>
        <v>-567</v>
      </c>
      <c r="L15" s="77">
        <f t="shared" si="4"/>
        <v>-2.3767904525962349E-3</v>
      </c>
    </row>
    <row r="16" spans="1:12" x14ac:dyDescent="0.25">
      <c r="A16" s="28" t="s">
        <v>249</v>
      </c>
      <c r="B16" s="143">
        <f>SUMIF('Izdevumi (Pielikums Nr.1)'!A$8:A$560,analīzei!A16,'Izdevumi (Pielikums Nr.1)'!AP$8:AP$560)</f>
        <v>417371</v>
      </c>
      <c r="C16" s="143">
        <f>SUMIF('Izdevumi (Pielikums Nr.1)'!$A$8:$A$561,analīzei!A16,'Izdevumi (Pielikums Nr.1)'!$AQ$8:$AQ$561)</f>
        <v>408754</v>
      </c>
      <c r="D16" s="143">
        <f t="shared" si="0"/>
        <v>-8617</v>
      </c>
      <c r="E16" s="77">
        <f t="shared" si="1"/>
        <v>-2.0645900170352036E-2</v>
      </c>
      <c r="H16" s="28" t="s">
        <v>249</v>
      </c>
      <c r="I16" s="143">
        <f>SUMIF('Izdevumi bez MD un ceļu f.'!A$8:A$470,analīzei!$H16,'Izdevumi bez MD un ceļu f.'!AP$8:AP$470)-G40</f>
        <v>178835</v>
      </c>
      <c r="J16" s="143">
        <f>SUMIF('Izdevumi bez MD un ceļu f.'!A$8:A$470,analīzei!$H16,'Izdevumi bez MD un ceļu f.'!AQ$8:AQ$470)-H40</f>
        <v>157521</v>
      </c>
      <c r="K16" s="143">
        <f t="shared" si="2"/>
        <v>-21314</v>
      </c>
      <c r="L16" s="77">
        <f t="shared" si="4"/>
        <v>-0.11918248664970503</v>
      </c>
    </row>
    <row r="17" spans="1:12" x14ac:dyDescent="0.25">
      <c r="A17" s="28" t="s">
        <v>264</v>
      </c>
      <c r="B17" s="143">
        <f>SUMIF('Izdevumi (Pielikums Nr.1)'!A$8:A$560,analīzei!A17,'Izdevumi (Pielikums Nr.1)'!AP$8:AP$560)</f>
        <v>460352</v>
      </c>
      <c r="C17" s="143">
        <f>SUMIF('Izdevumi (Pielikums Nr.1)'!$A$8:$A$561,analīzei!A17,'Izdevumi (Pielikums Nr.1)'!$AQ$8:$AQ$561)</f>
        <v>483107</v>
      </c>
      <c r="D17" s="143">
        <f t="shared" si="0"/>
        <v>22755</v>
      </c>
      <c r="E17" s="77">
        <f t="shared" si="1"/>
        <v>4.9429566940080633E-2</v>
      </c>
      <c r="H17" s="28" t="s">
        <v>264</v>
      </c>
      <c r="I17" s="143">
        <f>SUMIF('Izdevumi bez MD un ceļu f.'!A$8:A$470,analīzei!$H17,'Izdevumi bez MD un ceļu f.'!AP$8:AP$470)-G41</f>
        <v>122365</v>
      </c>
      <c r="J17" s="143">
        <f>SUMIF('Izdevumi bez MD un ceļu f.'!A$8:A$470,analīzei!$H17,'Izdevumi bez MD un ceļu f.'!AQ$8:AQ$470)-H41</f>
        <v>117364</v>
      </c>
      <c r="K17" s="143">
        <f t="shared" si="2"/>
        <v>-5001</v>
      </c>
      <c r="L17" s="77">
        <f t="shared" si="4"/>
        <v>-4.086952968577616E-2</v>
      </c>
    </row>
    <row r="18" spans="1:12" x14ac:dyDescent="0.25">
      <c r="A18" s="28" t="s">
        <v>271</v>
      </c>
      <c r="B18" s="143">
        <f>SUMIF('Izdevumi (Pielikums Nr.1)'!A$8:A$560,analīzei!A18,'Izdevumi (Pielikums Nr.1)'!AP$8:AP$560)</f>
        <v>6991484</v>
      </c>
      <c r="C18" s="143">
        <f>SUMIF('Izdevumi (Pielikums Nr.1)'!$A$8:$A$561,analīzei!A18,'Izdevumi (Pielikums Nr.1)'!$AQ$8:$AQ$561)</f>
        <v>7210109</v>
      </c>
      <c r="D18" s="143">
        <f t="shared" si="0"/>
        <v>218625</v>
      </c>
      <c r="E18" s="77">
        <f t="shared" si="1"/>
        <v>3.1270185271109821E-2</v>
      </c>
      <c r="H18" s="28" t="s">
        <v>271</v>
      </c>
      <c r="I18" s="143">
        <f>SUMIF('Izdevumi bez MD un ceļu f.'!A$8:A$470,analīzei!$H18,'Izdevumi bez MD un ceļu f.'!AP$8:AP$470)-G42</f>
        <v>1684495</v>
      </c>
      <c r="J18" s="143">
        <f>SUMIF('Izdevumi bez MD un ceļu f.'!A$8:A$470,analīzei!$H18,'Izdevumi bez MD un ceļu f.'!AQ$8:AQ$470)-H42</f>
        <v>1594293</v>
      </c>
      <c r="K18" s="143">
        <f t="shared" si="2"/>
        <v>-90202</v>
      </c>
      <c r="L18" s="77">
        <f t="shared" si="4"/>
        <v>-5.3548392841771569E-2</v>
      </c>
    </row>
    <row r="19" spans="1:12" x14ac:dyDescent="0.25">
      <c r="A19" s="99" t="s">
        <v>332</v>
      </c>
      <c r="B19" s="143">
        <f>SUMIF('Izdevumi (Pielikums Nr.1)'!A$8:A$560,analīzei!A19,'Izdevumi (Pielikums Nr.1)'!AP$8:AP$560)</f>
        <v>8436952</v>
      </c>
      <c r="C19" s="143">
        <f>SUMIF('Izdevumi (Pielikums Nr.1)'!$A$8:$A$561,analīzei!A19,'Izdevumi (Pielikums Nr.1)'!$AQ$8:$AQ$561)</f>
        <v>8885153</v>
      </c>
      <c r="D19" s="143">
        <f t="shared" si="0"/>
        <v>448201</v>
      </c>
      <c r="E19" s="77">
        <f t="shared" si="1"/>
        <v>5.3123568795934835E-2</v>
      </c>
      <c r="H19" s="99" t="s">
        <v>332</v>
      </c>
      <c r="I19" s="143">
        <f>SUMIF('Izdevumi bez MD un ceļu f.'!A$8:A$470,analīzei!$H19,'Izdevumi bez MD un ceļu f.'!AP$8:AP$470)-G43</f>
        <v>5731686</v>
      </c>
      <c r="J19" s="143">
        <f>SUMIF('Izdevumi bez MD un ceļu f.'!A$8:A$470,analīzei!$H19,'Izdevumi bez MD un ceļu f.'!AQ$8:AQ$470)-H43</f>
        <v>5908852</v>
      </c>
      <c r="K19" s="143">
        <f t="shared" si="2"/>
        <v>177166</v>
      </c>
      <c r="L19" s="77">
        <f t="shared" si="4"/>
        <v>3.0909927724582262E-2</v>
      </c>
    </row>
    <row r="20" spans="1:12" ht="15.75" x14ac:dyDescent="0.25">
      <c r="A20" s="78" t="s">
        <v>581</v>
      </c>
      <c r="B20" s="79">
        <f>SUM(B4:B19)</f>
        <v>26068025</v>
      </c>
      <c r="C20" s="79">
        <f>SUM(C4:C19)</f>
        <v>27242399</v>
      </c>
      <c r="D20" s="162">
        <f>SUM(D4:D19)</f>
        <v>1174374</v>
      </c>
      <c r="E20" s="80">
        <f t="shared" si="1"/>
        <v>4.5050363424156609E-2</v>
      </c>
      <c r="H20" s="78" t="s">
        <v>581</v>
      </c>
      <c r="I20" s="79">
        <f>SUM(I4:I19)</f>
        <v>10433046</v>
      </c>
      <c r="J20" s="79">
        <f>SUM(J4:J19)</f>
        <v>10419429</v>
      </c>
      <c r="K20" s="78">
        <f>SUM(K4:K19)</f>
        <v>-13617</v>
      </c>
      <c r="L20" s="80">
        <f>K20/I20</f>
        <v>-1.3051797145339913E-3</v>
      </c>
    </row>
    <row r="25" spans="1:12" x14ac:dyDescent="0.25">
      <c r="A25" s="76" t="s">
        <v>582</v>
      </c>
      <c r="F25" s="76" t="s">
        <v>583</v>
      </c>
    </row>
    <row r="27" spans="1:12" ht="30" x14ac:dyDescent="0.25">
      <c r="A27" s="142" t="s">
        <v>6</v>
      </c>
      <c r="B27" s="50" t="s">
        <v>482</v>
      </c>
      <c r="C27" s="50" t="s">
        <v>483</v>
      </c>
      <c r="D27" s="50" t="s">
        <v>584</v>
      </c>
      <c r="F27" s="142" t="s">
        <v>6</v>
      </c>
      <c r="G27" s="50" t="s">
        <v>482</v>
      </c>
      <c r="H27" s="50" t="s">
        <v>483</v>
      </c>
      <c r="I27" s="50" t="s">
        <v>584</v>
      </c>
      <c r="J27" s="50" t="s">
        <v>580</v>
      </c>
    </row>
    <row r="28" spans="1:12" x14ac:dyDescent="0.25">
      <c r="A28" s="99" t="s">
        <v>55</v>
      </c>
      <c r="B28" s="143">
        <f>SUMIF('Izdevumi (Pielikums Nr.1)'!A$8:A$560,analīzei!$A28,'Izdevumi (Pielikums Nr.1)'!D$8:D$560)</f>
        <v>440051</v>
      </c>
      <c r="C28" s="143">
        <f>SUMIF('Izdevumi (Pielikums Nr.1)'!A$8:A$560,analīzei!$A28,'Izdevumi (Pielikums Nr.1)'!E$8:E$560)</f>
        <v>459171</v>
      </c>
      <c r="D28" s="143">
        <f>C28-B28</f>
        <v>19120</v>
      </c>
      <c r="F28" s="99" t="s">
        <v>55</v>
      </c>
      <c r="G28" s="143">
        <f>SUMIF('Izdevumi bez MD un ceļu f.'!A$8:A$470,analīzei!$F28,'Izdevumi bez MD un ceļu f.'!D$8:D$470)</f>
        <v>357171</v>
      </c>
      <c r="H28" s="143">
        <f>SUMIF('Izdevumi bez MD un ceļu f.'!A$8:A$470,analīzei!$F28,'Izdevumi bez MD un ceļu f.'!E$8:E$470)</f>
        <v>371191</v>
      </c>
      <c r="I28" s="143">
        <f>H28-G28</f>
        <v>14020</v>
      </c>
      <c r="J28" s="158">
        <f>I28/G28</f>
        <v>3.9252906870938568E-2</v>
      </c>
    </row>
    <row r="29" spans="1:12" x14ac:dyDescent="0.25">
      <c r="A29" s="28" t="s">
        <v>109</v>
      </c>
      <c r="B29" s="143">
        <f>SUMIF('Izdevumi (Pielikums Nr.1)'!A$8:A$560,analīzei!$A29,'Izdevumi (Pielikums Nr.1)'!D$8:D$560)</f>
        <v>612458</v>
      </c>
      <c r="C29" s="143">
        <f>SUMIF('Izdevumi (Pielikums Nr.1)'!A$8:A$560,analīzei!$A29,'Izdevumi (Pielikums Nr.1)'!E$8:E$560)</f>
        <v>712859</v>
      </c>
      <c r="D29" s="143">
        <f t="shared" ref="D29:D43" si="5">C29-B29</f>
        <v>100401</v>
      </c>
      <c r="F29" s="28" t="s">
        <v>109</v>
      </c>
      <c r="G29" s="143">
        <f>SUMIF('Izdevumi bez MD un ceļu f.'!A$8:A$470,analīzei!$F29,'Izdevumi bez MD un ceļu f.'!D$8:D$470)</f>
        <v>486818</v>
      </c>
      <c r="H29" s="143">
        <f>SUMIF('Izdevumi bez MD un ceļu f.'!A$8:A$470,analīzei!$F29,'Izdevumi bez MD un ceļu f.'!E$8:E$470)</f>
        <v>576176</v>
      </c>
      <c r="I29" s="143">
        <f t="shared" ref="I29:I43" si="6">H29-G29</f>
        <v>89358</v>
      </c>
      <c r="J29" s="158">
        <f t="shared" ref="J29:J44" si="7">I29/G29</f>
        <v>0.18355525062754457</v>
      </c>
    </row>
    <row r="30" spans="1:12" x14ac:dyDescent="0.25">
      <c r="A30" s="28" t="s">
        <v>124</v>
      </c>
      <c r="B30" s="143">
        <f>SUMIF('Izdevumi (Pielikums Nr.1)'!A$8:A$560,analīzei!$A30,'Izdevumi (Pielikums Nr.1)'!D$8:D$560)</f>
        <v>490481</v>
      </c>
      <c r="C30" s="143">
        <f>SUMIF('Izdevumi (Pielikums Nr.1)'!A$8:A$560,analīzei!$A30,'Izdevumi (Pielikums Nr.1)'!E$8:E$560)</f>
        <v>499045</v>
      </c>
      <c r="D30" s="143">
        <f t="shared" si="5"/>
        <v>8564</v>
      </c>
      <c r="F30" s="28" t="s">
        <v>124</v>
      </c>
      <c r="G30" s="143">
        <f>SUMIF('Izdevumi bez MD un ceļu f.'!A$8:A$470,analīzei!$F30,'Izdevumi bez MD un ceļu f.'!D$8:D$470)</f>
        <v>358025</v>
      </c>
      <c r="H30" s="143">
        <f>SUMIF('Izdevumi bez MD un ceļu f.'!A$8:A$470,analīzei!$F30,'Izdevumi bez MD un ceļu f.'!E$8:E$470)</f>
        <v>347282</v>
      </c>
      <c r="I30" s="143">
        <f t="shared" si="6"/>
        <v>-10743</v>
      </c>
      <c r="J30" s="158">
        <f t="shared" si="7"/>
        <v>-3.0006284477340966E-2</v>
      </c>
    </row>
    <row r="31" spans="1:12" x14ac:dyDescent="0.25">
      <c r="A31" s="28" t="s">
        <v>133</v>
      </c>
      <c r="B31" s="143">
        <f>SUMIF('Izdevumi (Pielikums Nr.1)'!A$8:A$560,analīzei!$A31,'Izdevumi (Pielikums Nr.1)'!D$8:D$560)</f>
        <v>910048</v>
      </c>
      <c r="C31" s="143">
        <f>SUMIF('Izdevumi (Pielikums Nr.1)'!A$8:A$560,analīzei!$A31,'Izdevumi (Pielikums Nr.1)'!E$8:E$560)</f>
        <v>1079378</v>
      </c>
      <c r="D31" s="143">
        <f t="shared" si="5"/>
        <v>169330</v>
      </c>
      <c r="F31" s="28" t="s">
        <v>133</v>
      </c>
      <c r="G31" s="143">
        <f>SUMIF('Izdevumi bez MD un ceļu f.'!A$8:A$470,analīzei!$F31,'Izdevumi bez MD un ceļu f.'!D$8:D$470)</f>
        <v>425570</v>
      </c>
      <c r="H31" s="143">
        <f>SUMIF('Izdevumi bez MD un ceļu f.'!A$8:A$470,analīzei!$F31,'Izdevumi bez MD un ceļu f.'!E$8:E$470)</f>
        <v>532705</v>
      </c>
      <c r="I31" s="143">
        <f t="shared" si="6"/>
        <v>107135</v>
      </c>
      <c r="J31" s="158">
        <f t="shared" si="7"/>
        <v>0.25174471884766314</v>
      </c>
    </row>
    <row r="32" spans="1:12" x14ac:dyDescent="0.25">
      <c r="A32" s="28" t="s">
        <v>149</v>
      </c>
      <c r="B32" s="143">
        <f>SUMIF('Izdevumi (Pielikums Nr.1)'!A$8:A$560,analīzei!$A32,'Izdevumi (Pielikums Nr.1)'!D$8:D$560)</f>
        <v>556373</v>
      </c>
      <c r="C32" s="143">
        <f>SUMIF('Izdevumi (Pielikums Nr.1)'!A$8:A$560,analīzei!$A32,'Izdevumi (Pielikums Nr.1)'!E$8:E$560)</f>
        <v>587110</v>
      </c>
      <c r="D32" s="143">
        <f t="shared" si="5"/>
        <v>30737</v>
      </c>
      <c r="F32" s="28" t="s">
        <v>149</v>
      </c>
      <c r="G32" s="143">
        <f>SUMIF('Izdevumi bez MD un ceļu f.'!A$8:A$470,analīzei!$F32,'Izdevumi bez MD un ceļu f.'!D$8:D$470)</f>
        <v>415389</v>
      </c>
      <c r="H32" s="143">
        <f>SUMIF('Izdevumi bez MD un ceļu f.'!A$8:A$470,analīzei!$F32,'Izdevumi bez MD un ceļu f.'!E$8:E$470)</f>
        <v>437467</v>
      </c>
      <c r="I32" s="143">
        <f t="shared" si="6"/>
        <v>22078</v>
      </c>
      <c r="J32" s="158">
        <f t="shared" si="7"/>
        <v>5.315017971106601E-2</v>
      </c>
    </row>
    <row r="33" spans="1:10" x14ac:dyDescent="0.25">
      <c r="A33" s="28" t="s">
        <v>175</v>
      </c>
      <c r="B33" s="143">
        <f>SUMIF('Izdevumi (Pielikums Nr.1)'!A$8:A$560,analīzei!$A33,'Izdevumi (Pielikums Nr.1)'!D$8:D$560)</f>
        <v>267140</v>
      </c>
      <c r="C33" s="143">
        <f>SUMIF('Izdevumi (Pielikums Nr.1)'!A$8:A$560,analīzei!$A33,'Izdevumi (Pielikums Nr.1)'!E$8:E$560)</f>
        <v>274022</v>
      </c>
      <c r="D33" s="143">
        <f t="shared" si="5"/>
        <v>6882</v>
      </c>
      <c r="F33" s="28" t="s">
        <v>175</v>
      </c>
      <c r="G33" s="143">
        <f>SUMIF('Izdevumi bez MD un ceļu f.'!A$8:A$470,analīzei!$F33,'Izdevumi bez MD un ceļu f.'!D$8:D$470)</f>
        <v>173788</v>
      </c>
      <c r="H33" s="143">
        <f>SUMIF('Izdevumi bez MD un ceļu f.'!A$8:A$470,analīzei!$F33,'Izdevumi bez MD un ceļu f.'!E$8:E$470)</f>
        <v>192104</v>
      </c>
      <c r="I33" s="143">
        <f t="shared" si="6"/>
        <v>18316</v>
      </c>
      <c r="J33" s="158">
        <f t="shared" si="7"/>
        <v>0.1053927774069556</v>
      </c>
    </row>
    <row r="34" spans="1:10" x14ac:dyDescent="0.25">
      <c r="A34" s="28" t="s">
        <v>185</v>
      </c>
      <c r="B34" s="143">
        <f>SUMIF('Izdevumi (Pielikums Nr.1)'!A$8:A$560,analīzei!$A34,'Izdevumi (Pielikums Nr.1)'!D$8:D$560)</f>
        <v>768799</v>
      </c>
      <c r="C34" s="143">
        <f>SUMIF('Izdevumi (Pielikums Nr.1)'!A$8:A$560,analīzei!$A34,'Izdevumi (Pielikums Nr.1)'!E$8:E$560)</f>
        <v>838407</v>
      </c>
      <c r="D34" s="143">
        <f t="shared" si="5"/>
        <v>69608</v>
      </c>
      <c r="F34" s="28" t="s">
        <v>185</v>
      </c>
      <c r="G34" s="143">
        <f>SUMIF('Izdevumi bez MD un ceļu f.'!A$8:A$470,analīzei!$F34,'Izdevumi bez MD un ceļu f.'!D$8:D$470)</f>
        <v>544623</v>
      </c>
      <c r="H34" s="143">
        <f>SUMIF('Izdevumi bez MD un ceļu f.'!A$8:A$470,analīzei!$F34,'Izdevumi bez MD un ceļu f.'!E$8:E$470)</f>
        <v>611275</v>
      </c>
      <c r="I34" s="143">
        <f t="shared" si="6"/>
        <v>66652</v>
      </c>
      <c r="J34" s="158">
        <f t="shared" si="7"/>
        <v>0.12238190454681495</v>
      </c>
    </row>
    <row r="35" spans="1:10" x14ac:dyDescent="0.25">
      <c r="A35" s="28" t="s">
        <v>201</v>
      </c>
      <c r="B35" s="143">
        <f>SUMIF('Izdevumi (Pielikums Nr.1)'!A$8:A$560,analīzei!$A35,'Izdevumi (Pielikums Nr.1)'!D$8:D$560)</f>
        <v>536762</v>
      </c>
      <c r="C35" s="143">
        <f>SUMIF('Izdevumi (Pielikums Nr.1)'!A$8:A$560,analīzei!$A35,'Izdevumi (Pielikums Nr.1)'!E$8:E$560)</f>
        <v>605920</v>
      </c>
      <c r="D35" s="143">
        <f t="shared" si="5"/>
        <v>69158</v>
      </c>
      <c r="F35" s="28" t="s">
        <v>201</v>
      </c>
      <c r="G35" s="143">
        <f>SUMIF('Izdevumi bez MD un ceļu f.'!A$8:A$470,analīzei!$F35,'Izdevumi bez MD un ceļu f.'!D$8:D$470)</f>
        <v>448290</v>
      </c>
      <c r="H35" s="143">
        <f>SUMIF('Izdevumi bez MD un ceļu f.'!A$8:A$470,analīzei!$F35,'Izdevumi bez MD un ceļu f.'!E$8:E$470)</f>
        <v>491717</v>
      </c>
      <c r="I35" s="143">
        <f t="shared" si="6"/>
        <v>43427</v>
      </c>
      <c r="J35" s="158">
        <f t="shared" si="7"/>
        <v>9.6872560173102237E-2</v>
      </c>
    </row>
    <row r="36" spans="1:10" x14ac:dyDescent="0.25">
      <c r="A36" s="28" t="s">
        <v>214</v>
      </c>
      <c r="B36" s="143">
        <f>SUMIF('Izdevumi (Pielikums Nr.1)'!A$8:A$560,analīzei!$A36,'Izdevumi (Pielikums Nr.1)'!D$8:D$560)</f>
        <v>438235</v>
      </c>
      <c r="C36" s="143">
        <f>SUMIF('Izdevumi (Pielikums Nr.1)'!A$8:A$560,analīzei!$A36,'Izdevumi (Pielikums Nr.1)'!E$8:E$560)</f>
        <v>465889</v>
      </c>
      <c r="D36" s="143">
        <f t="shared" si="5"/>
        <v>27654</v>
      </c>
      <c r="F36" s="28" t="s">
        <v>214</v>
      </c>
      <c r="G36" s="143">
        <f>SUMIF('Izdevumi bez MD un ceļu f.'!A$8:A$470,analīzei!$F36,'Izdevumi bez MD un ceļu f.'!D$8:D$470)</f>
        <v>438235</v>
      </c>
      <c r="H36" s="143">
        <f>SUMIF('Izdevumi bez MD un ceļu f.'!A$8:A$470,analīzei!$F36,'Izdevumi bez MD un ceļu f.'!E$8:E$470)</f>
        <v>465889</v>
      </c>
      <c r="I36" s="143">
        <f t="shared" si="6"/>
        <v>27654</v>
      </c>
      <c r="J36" s="158">
        <f t="shared" si="7"/>
        <v>6.3103129599415844E-2</v>
      </c>
    </row>
    <row r="37" spans="1:10" x14ac:dyDescent="0.25">
      <c r="A37" s="28" t="s">
        <v>227</v>
      </c>
      <c r="B37" s="143">
        <f>SUMIF('Izdevumi (Pielikums Nr.1)'!A$8:A$560,analīzei!$A37,'Izdevumi (Pielikums Nr.1)'!D$8:D$560)</f>
        <v>191572</v>
      </c>
      <c r="C37" s="143">
        <f>SUMIF('Izdevumi (Pielikums Nr.1)'!A$8:A$560,analīzei!$A37,'Izdevumi (Pielikums Nr.1)'!E$8:E$560)</f>
        <v>190624</v>
      </c>
      <c r="D37" s="143">
        <f t="shared" si="5"/>
        <v>-948</v>
      </c>
      <c r="F37" s="28" t="s">
        <v>227</v>
      </c>
      <c r="G37" s="143">
        <f>SUMIF('Izdevumi bez MD un ceļu f.'!A$8:A$470,analīzei!$F37,'Izdevumi bez MD un ceļu f.'!D$8:D$470)</f>
        <v>191572</v>
      </c>
      <c r="H37" s="143">
        <f>SUMIF('Izdevumi bez MD un ceļu f.'!A$8:A$470,analīzei!$F37,'Izdevumi bez MD un ceļu f.'!E$8:E$470)</f>
        <v>190624</v>
      </c>
      <c r="I37" s="143">
        <f t="shared" si="6"/>
        <v>-948</v>
      </c>
      <c r="J37" s="158">
        <f t="shared" si="7"/>
        <v>-4.9485311005783728E-3</v>
      </c>
    </row>
    <row r="38" spans="1:10" x14ac:dyDescent="0.25">
      <c r="A38" s="28" t="s">
        <v>231</v>
      </c>
      <c r="B38" s="143">
        <f>SUMIF('Izdevumi (Pielikums Nr.1)'!A$8:A$560,analīzei!$A38,'Izdevumi (Pielikums Nr.1)'!D$8:D$560)</f>
        <v>389857</v>
      </c>
      <c r="C38" s="143">
        <f>SUMIF('Izdevumi (Pielikums Nr.1)'!A$8:A$560,analīzei!$A38,'Izdevumi (Pielikums Nr.1)'!E$8:E$560)</f>
        <v>429666</v>
      </c>
      <c r="D38" s="143">
        <f t="shared" si="5"/>
        <v>39809</v>
      </c>
      <c r="F38" s="28" t="s">
        <v>231</v>
      </c>
      <c r="G38" s="143">
        <f>SUMIF('Izdevumi bez MD un ceļu f.'!A$8:A$470,analīzei!$F38,'Izdevumi bez MD un ceļu f.'!D$8:D$470)</f>
        <v>317569</v>
      </c>
      <c r="H38" s="143">
        <f>SUMIF('Izdevumi bez MD un ceļu f.'!A$8:A$470,analīzei!$F38,'Izdevumi bez MD un ceļu f.'!E$8:E$470)</f>
        <v>353249</v>
      </c>
      <c r="I38" s="143">
        <f t="shared" si="6"/>
        <v>35680</v>
      </c>
      <c r="J38" s="158">
        <f t="shared" si="7"/>
        <v>0.11235353576703015</v>
      </c>
    </row>
    <row r="39" spans="1:10" x14ac:dyDescent="0.25">
      <c r="A39" s="28" t="s">
        <v>241</v>
      </c>
      <c r="B39" s="143">
        <f>SUMIF('Izdevumi (Pielikums Nr.1)'!A$8:A$560,analīzei!$A39,'Izdevumi (Pielikums Nr.1)'!D$8:D$560)</f>
        <v>706336</v>
      </c>
      <c r="C39" s="143">
        <f>SUMIF('Izdevumi (Pielikums Nr.1)'!A$8:A$560,analīzei!$A39,'Izdevumi (Pielikums Nr.1)'!E$8:E$560)</f>
        <v>728509</v>
      </c>
      <c r="D39" s="143">
        <f t="shared" si="5"/>
        <v>22173</v>
      </c>
      <c r="F39" s="28" t="s">
        <v>241</v>
      </c>
      <c r="G39" s="143">
        <f>SUMIF('Izdevumi bez MD un ceļu f.'!A$8:A$470,analīzei!$F39,'Izdevumi bez MD un ceļu f.'!D$8:D$470)</f>
        <v>547648</v>
      </c>
      <c r="H39" s="143">
        <f>SUMIF('Izdevumi bez MD un ceļu f.'!A$8:A$470,analīzei!$F39,'Izdevumi bez MD un ceļu f.'!E$8:E$470)</f>
        <v>550815</v>
      </c>
      <c r="I39" s="143">
        <f t="shared" si="6"/>
        <v>3167</v>
      </c>
      <c r="J39" s="158">
        <f t="shared" si="7"/>
        <v>5.7829116512796543E-3</v>
      </c>
    </row>
    <row r="40" spans="1:10" x14ac:dyDescent="0.25">
      <c r="A40" s="28" t="s">
        <v>249</v>
      </c>
      <c r="B40" s="143">
        <f>SUMIF('Izdevumi (Pielikums Nr.1)'!A$8:A$560,analīzei!$A40,'Izdevumi (Pielikums Nr.1)'!D$8:D$560)</f>
        <v>184139</v>
      </c>
      <c r="C40" s="143">
        <f>SUMIF('Izdevumi (Pielikums Nr.1)'!A$8:A$560,analīzei!$A40,'Izdevumi (Pielikums Nr.1)'!E$8:E$560)</f>
        <v>196490</v>
      </c>
      <c r="D40" s="143">
        <f t="shared" si="5"/>
        <v>12351</v>
      </c>
      <c r="F40" s="28" t="s">
        <v>249</v>
      </c>
      <c r="G40" s="143">
        <f>SUMIF('Izdevumi bez MD un ceļu f.'!A$8:A$470,analīzei!$F40,'Izdevumi bez MD un ceļu f.'!D$8:D$470)</f>
        <v>184139</v>
      </c>
      <c r="H40" s="143">
        <f>SUMIF('Izdevumi bez MD un ceļu f.'!A$8:A$470,analīzei!$F40,'Izdevumi bez MD un ceļu f.'!E$8:E$470)</f>
        <v>196490</v>
      </c>
      <c r="I40" s="143">
        <f t="shared" si="6"/>
        <v>12351</v>
      </c>
      <c r="J40" s="158">
        <f t="shared" si="7"/>
        <v>6.7074329718310621E-2</v>
      </c>
    </row>
    <row r="41" spans="1:10" x14ac:dyDescent="0.25">
      <c r="A41" s="28" t="s">
        <v>264</v>
      </c>
      <c r="B41" s="143">
        <f>SUMIF('Izdevumi (Pielikums Nr.1)'!A$8:A$560,analīzei!$A41,'Izdevumi (Pielikums Nr.1)'!D$8:D$560)</f>
        <v>304417</v>
      </c>
      <c r="C41" s="143">
        <f>SUMIF('Izdevumi (Pielikums Nr.1)'!A$8:A$560,analīzei!$A41,'Izdevumi (Pielikums Nr.1)'!E$8:E$560)</f>
        <v>332281</v>
      </c>
      <c r="D41" s="143">
        <f t="shared" si="5"/>
        <v>27864</v>
      </c>
      <c r="F41" s="28" t="s">
        <v>264</v>
      </c>
      <c r="G41" s="143">
        <f>SUMIF('Izdevumi bez MD un ceļu f.'!A$8:A$470,analīzei!$F41,'Izdevumi bez MD un ceļu f.'!D$8:D$470)</f>
        <v>249721</v>
      </c>
      <c r="H41" s="143">
        <f>SUMIF('Izdevumi bez MD un ceļu f.'!A$8:A$470,analīzei!$F41,'Izdevumi bez MD un ceļu f.'!E$8:E$470)</f>
        <v>279715</v>
      </c>
      <c r="I41" s="143">
        <f t="shared" si="6"/>
        <v>29994</v>
      </c>
      <c r="J41" s="158">
        <f t="shared" si="7"/>
        <v>0.12011004280777347</v>
      </c>
    </row>
    <row r="42" spans="1:10" x14ac:dyDescent="0.25">
      <c r="A42" s="28" t="s">
        <v>271</v>
      </c>
      <c r="B42" s="143">
        <f>SUMIF('Izdevumi (Pielikums Nr.1)'!A$8:A$560,analīzei!$A42,'Izdevumi (Pielikums Nr.1)'!D$8:D$560)</f>
        <v>4909841</v>
      </c>
      <c r="C42" s="143">
        <f>SUMIF('Izdevumi (Pielikums Nr.1)'!A$8:A$560,analīzei!$A42,'Izdevumi (Pielikums Nr.1)'!E$8:E$560)</f>
        <v>5233254</v>
      </c>
      <c r="D42" s="143">
        <f t="shared" si="5"/>
        <v>323413</v>
      </c>
      <c r="F42" s="28" t="s">
        <v>271</v>
      </c>
      <c r="G42" s="143">
        <f>SUMIF('Izdevumi bez MD un ceļu f.'!A$8:A$470,analīzei!$F42,'Izdevumi bez MD un ceļu f.'!D$8:D$470)</f>
        <v>3993743</v>
      </c>
      <c r="H42" s="143">
        <f>SUMIF('Izdevumi bez MD un ceļu f.'!A$8:A$470,analīzei!$F42,'Izdevumi bez MD un ceļu f.'!E$8:E$470)</f>
        <v>4282330</v>
      </c>
      <c r="I42" s="143">
        <f t="shared" si="6"/>
        <v>288587</v>
      </c>
      <c r="J42" s="158">
        <f t="shared" si="7"/>
        <v>7.2259782364563763E-2</v>
      </c>
    </row>
    <row r="43" spans="1:10" x14ac:dyDescent="0.25">
      <c r="A43" s="99" t="s">
        <v>332</v>
      </c>
      <c r="B43" s="143">
        <f>SUMIF('Izdevumi (Pielikums Nr.1)'!A$8:A$560,analīzei!$A43,'Izdevumi (Pielikums Nr.1)'!D$8:D$560)</f>
        <v>2655991</v>
      </c>
      <c r="C43" s="143">
        <f>SUMIF('Izdevumi (Pielikums Nr.1)'!A$8:A$560,analīzei!$A43,'Izdevumi (Pielikums Nr.1)'!E$8:E$560)</f>
        <v>2890001</v>
      </c>
      <c r="D43" s="143">
        <f t="shared" si="5"/>
        <v>234010</v>
      </c>
      <c r="F43" s="99" t="s">
        <v>332</v>
      </c>
      <c r="G43" s="143">
        <f>SUMIF('Izdevumi bez MD un ceļu f.'!A$8:A$470,analīzei!$F43,'Izdevumi bez MD un ceļu f.'!D$8:D$470)</f>
        <v>2655991</v>
      </c>
      <c r="H43" s="143">
        <f>SUMIF('Izdevumi bez MD un ceļu f.'!A$8:A$470,analīzei!$F43,'Izdevumi bez MD un ceļu f.'!E$8:E$470)</f>
        <v>2890001</v>
      </c>
      <c r="I43" s="143">
        <f t="shared" si="6"/>
        <v>234010</v>
      </c>
      <c r="J43" s="158">
        <f t="shared" si="7"/>
        <v>8.8106473252356654E-2</v>
      </c>
    </row>
    <row r="44" spans="1:10" ht="15.75" x14ac:dyDescent="0.25">
      <c r="A44" s="78" t="s">
        <v>581</v>
      </c>
      <c r="B44" s="79">
        <f>SUM(B28:B43)</f>
        <v>14362500</v>
      </c>
      <c r="C44" s="79">
        <f>SUM(C28:C43)</f>
        <v>15522626</v>
      </c>
      <c r="D44" s="162">
        <f>SUM(D28:D43)</f>
        <v>1160126</v>
      </c>
      <c r="F44" s="78" t="s">
        <v>581</v>
      </c>
      <c r="G44" s="79">
        <f>SUM(G28:G43)</f>
        <v>11788292</v>
      </c>
      <c r="H44" s="79">
        <f>SUM(H28:H43)</f>
        <v>12769030</v>
      </c>
      <c r="I44" s="79">
        <f>SUM(I28:I43)</f>
        <v>980738</v>
      </c>
      <c r="J44" s="159">
        <f t="shared" si="7"/>
        <v>8.3195937121340394E-2</v>
      </c>
    </row>
    <row r="46" spans="1:10" ht="15.75" x14ac:dyDescent="0.25">
      <c r="A46" s="134"/>
    </row>
    <row r="47" spans="1:10" ht="15.75" x14ac:dyDescent="0.25">
      <c r="A47" s="134"/>
      <c r="D47" s="106"/>
    </row>
    <row r="49" spans="1:4" x14ac:dyDescent="0.25">
      <c r="A49" s="76" t="s">
        <v>585</v>
      </c>
    </row>
    <row r="51" spans="1:4" ht="39" x14ac:dyDescent="0.25">
      <c r="A51" s="142" t="s">
        <v>6</v>
      </c>
      <c r="B51" s="4" t="s">
        <v>64</v>
      </c>
      <c r="C51" s="4" t="s">
        <v>62</v>
      </c>
      <c r="D51" s="50" t="s">
        <v>483</v>
      </c>
    </row>
    <row r="52" spans="1:4" x14ac:dyDescent="0.25">
      <c r="A52" s="99" t="s">
        <v>55</v>
      </c>
      <c r="B52" s="101">
        <f>SUMIFS('Izdevumi (Pielikums Nr.1)'!$AQ$8:$AQ$562, 'Izdevumi (Pielikums Nr.1)'!$A$8:$A$562,analīzei!$A52,'Izdevumi (Pielikums Nr.1)'!$B$8:$B$562,analīzei!B$51)</f>
        <v>34441</v>
      </c>
      <c r="C52" s="101">
        <f>SUMIFS('Izdevumi (Pielikums Nr.1)'!$AQ$8:$AQ$562, 'Izdevumi (Pielikums Nr.1)'!$A$8:$A$562,analīzei!$A52,'Izdevumi (Pielikums Nr.1)'!$B$8:$B$562,analīzei!C$51)</f>
        <v>22353</v>
      </c>
      <c r="D52" s="102">
        <f>B52+C52</f>
        <v>56794</v>
      </c>
    </row>
    <row r="53" spans="1:4" x14ac:dyDescent="0.25">
      <c r="A53" s="28" t="s">
        <v>109</v>
      </c>
      <c r="B53" s="101">
        <f>SUMIFS('Izdevumi (Pielikums Nr.1)'!$AQ$8:$AQ$562, 'Izdevumi (Pielikums Nr.1)'!$A$8:$A$562,analīzei!$A53,'Izdevumi (Pielikums Nr.1)'!$B$8:$B$562,analīzei!B$51)</f>
        <v>30026</v>
      </c>
      <c r="C53" s="101">
        <f>SUMIFS('Izdevumi (Pielikums Nr.1)'!$AQ$8:$AQ$562, 'Izdevumi (Pielikums Nr.1)'!$A$8:$A$562,analīzei!$A53,'Izdevumi (Pielikums Nr.1)'!$B$8:$B$562,analīzei!C$51)</f>
        <v>19487</v>
      </c>
      <c r="D53" s="102">
        <f t="shared" ref="D53:D67" si="8">B53+C53</f>
        <v>49513</v>
      </c>
    </row>
    <row r="54" spans="1:4" x14ac:dyDescent="0.25">
      <c r="A54" s="28" t="s">
        <v>124</v>
      </c>
      <c r="B54" s="101">
        <f>SUMIFS('Izdevumi (Pielikums Nr.1)'!$AQ$8:$AQ$562, 'Izdevumi (Pielikums Nr.1)'!$A$8:$A$562,analīzei!$A54,'Izdevumi (Pielikums Nr.1)'!$B$8:$B$562,analīzei!B$51)</f>
        <v>29144</v>
      </c>
      <c r="C54" s="101">
        <f>SUMIFS('Izdevumi (Pielikums Nr.1)'!$AQ$8:$AQ$562, 'Izdevumi (Pielikums Nr.1)'!$A$8:$A$562,analīzei!$A54,'Izdevumi (Pielikums Nr.1)'!$B$8:$B$562,analīzei!C$51)</f>
        <v>18915</v>
      </c>
      <c r="D54" s="102">
        <f t="shared" si="8"/>
        <v>48059</v>
      </c>
    </row>
    <row r="55" spans="1:4" x14ac:dyDescent="0.25">
      <c r="A55" s="28" t="s">
        <v>133</v>
      </c>
      <c r="B55" s="101">
        <f>SUMIFS('Izdevumi (Pielikums Nr.1)'!$AQ$8:$AQ$562, 'Izdevumi (Pielikums Nr.1)'!$A$8:$A$562,analīzei!$A55,'Izdevumi (Pielikums Nr.1)'!$B$8:$B$562,analīzei!B$51)</f>
        <v>24375</v>
      </c>
      <c r="C55" s="101">
        <f>SUMIFS('Izdevumi (Pielikums Nr.1)'!$AQ$8:$AQ$562, 'Izdevumi (Pielikums Nr.1)'!$A$8:$A$562,analīzei!$A55,'Izdevumi (Pielikums Nr.1)'!$B$8:$B$562,analīzei!C$51)</f>
        <v>15819</v>
      </c>
      <c r="D55" s="102">
        <f t="shared" si="8"/>
        <v>40194</v>
      </c>
    </row>
    <row r="56" spans="1:4" x14ac:dyDescent="0.25">
      <c r="A56" s="28" t="s">
        <v>149</v>
      </c>
      <c r="B56" s="101">
        <f>SUMIFS('Izdevumi (Pielikums Nr.1)'!$AQ$8:$AQ$562, 'Izdevumi (Pielikums Nr.1)'!$A$8:$A$562,analīzei!$A56,'Izdevumi (Pielikums Nr.1)'!$B$8:$B$562,analīzei!B$51)</f>
        <v>40261</v>
      </c>
      <c r="C56" s="101">
        <f>SUMIFS('Izdevumi (Pielikums Nr.1)'!$AQ$8:$AQ$562, 'Izdevumi (Pielikums Nr.1)'!$A$8:$A$562,analīzei!$A56,'Izdevumi (Pielikums Nr.1)'!$B$8:$B$562,analīzei!C$51)</f>
        <v>26130</v>
      </c>
      <c r="D56" s="102">
        <f t="shared" si="8"/>
        <v>66391</v>
      </c>
    </row>
    <row r="57" spans="1:4" x14ac:dyDescent="0.25">
      <c r="A57" s="28" t="s">
        <v>175</v>
      </c>
      <c r="B57" s="101">
        <f>SUMIFS('Izdevumi (Pielikums Nr.1)'!$AQ$8:$AQ$562, 'Izdevumi (Pielikums Nr.1)'!$A$8:$A$562,analīzei!$A57,'Izdevumi (Pielikums Nr.1)'!$B$8:$B$562,analīzei!B$51)</f>
        <v>10506</v>
      </c>
      <c r="C57" s="101">
        <f>SUMIFS('Izdevumi (Pielikums Nr.1)'!$AQ$8:$AQ$562, 'Izdevumi (Pielikums Nr.1)'!$A$8:$A$562,analīzei!$A57,'Izdevumi (Pielikums Nr.1)'!$B$8:$B$562,analīzei!C$51)</f>
        <v>6819</v>
      </c>
      <c r="D57" s="102">
        <f t="shared" si="8"/>
        <v>17325</v>
      </c>
    </row>
    <row r="58" spans="1:4" x14ac:dyDescent="0.25">
      <c r="A58" s="28" t="s">
        <v>185</v>
      </c>
      <c r="B58" s="101">
        <f>SUMIFS('Izdevumi (Pielikums Nr.1)'!$AQ$8:$AQ$562, 'Izdevumi (Pielikums Nr.1)'!$A$8:$A$562,analīzei!$A58,'Izdevumi (Pielikums Nr.1)'!$B$8:$B$562,analīzei!B$51)</f>
        <v>34084</v>
      </c>
      <c r="C58" s="101">
        <f>SUMIFS('Izdevumi (Pielikums Nr.1)'!$AQ$8:$AQ$562, 'Izdevumi (Pielikums Nr.1)'!$A$8:$A$562,analīzei!$A58,'Izdevumi (Pielikums Nr.1)'!$B$8:$B$562,analīzei!C$51)</f>
        <v>22120</v>
      </c>
      <c r="D58" s="102">
        <f t="shared" si="8"/>
        <v>56204</v>
      </c>
    </row>
    <row r="59" spans="1:4" x14ac:dyDescent="0.25">
      <c r="A59" s="28" t="s">
        <v>201</v>
      </c>
      <c r="B59" s="101">
        <f>SUMIFS('Izdevumi (Pielikums Nr.1)'!$AQ$8:$AQ$562, 'Izdevumi (Pielikums Nr.1)'!$A$8:$A$562,analīzei!$A59,'Izdevumi (Pielikums Nr.1)'!$B$8:$B$562,analīzei!B$51)</f>
        <v>30672</v>
      </c>
      <c r="C59" s="101">
        <f>SUMIFS('Izdevumi (Pielikums Nr.1)'!$AQ$8:$AQ$562, 'Izdevumi (Pielikums Nr.1)'!$A$8:$A$562,analīzei!$A59,'Izdevumi (Pielikums Nr.1)'!$B$8:$B$562,analīzei!C$51)</f>
        <v>19907</v>
      </c>
      <c r="D59" s="102">
        <f t="shared" si="8"/>
        <v>50579</v>
      </c>
    </row>
    <row r="60" spans="1:4" x14ac:dyDescent="0.25">
      <c r="A60" s="28" t="s">
        <v>214</v>
      </c>
      <c r="B60" s="101">
        <f>SUMIFS('Izdevumi (Pielikums Nr.1)'!$AQ$8:$AQ$562, 'Izdevumi (Pielikums Nr.1)'!$A$8:$A$562,analīzei!$A60,'Izdevumi (Pielikums Nr.1)'!$B$8:$B$562,analīzei!B$51)</f>
        <v>23000</v>
      </c>
      <c r="C60" s="101">
        <f>SUMIFS('Izdevumi (Pielikums Nr.1)'!$AQ$8:$AQ$562, 'Izdevumi (Pielikums Nr.1)'!$A$8:$A$562,analīzei!$A60,'Izdevumi (Pielikums Nr.1)'!$B$8:$B$562,analīzei!C$51)</f>
        <v>14928</v>
      </c>
      <c r="D60" s="102">
        <f t="shared" si="8"/>
        <v>37928</v>
      </c>
    </row>
    <row r="61" spans="1:4" x14ac:dyDescent="0.25">
      <c r="A61" s="28" t="s">
        <v>227</v>
      </c>
      <c r="B61" s="101">
        <f>SUMIFS('Izdevumi (Pielikums Nr.1)'!$AQ$8:$AQ$562, 'Izdevumi (Pielikums Nr.1)'!$A$8:$A$562,analīzei!$A61,'Izdevumi (Pielikums Nr.1)'!$B$8:$B$562,analīzei!B$51)</f>
        <v>30153</v>
      </c>
      <c r="C61" s="101">
        <f>SUMIFS('Izdevumi (Pielikums Nr.1)'!$AQ$8:$AQ$562, 'Izdevumi (Pielikums Nr.1)'!$A$8:$A$562,analīzei!$A61,'Izdevumi (Pielikums Nr.1)'!$B$8:$B$562,analīzei!C$51)</f>
        <v>19569</v>
      </c>
      <c r="D61" s="102">
        <f t="shared" si="8"/>
        <v>49722</v>
      </c>
    </row>
    <row r="62" spans="1:4" x14ac:dyDescent="0.25">
      <c r="A62" s="28" t="s">
        <v>231</v>
      </c>
      <c r="B62" s="101">
        <f>SUMIFS('Izdevumi (Pielikums Nr.1)'!$AQ$8:$AQ$562, 'Izdevumi (Pielikums Nr.1)'!$A$8:$A$562,analīzei!$A62,'Izdevumi (Pielikums Nr.1)'!$B$8:$B$562,analīzei!B$51)</f>
        <v>29177</v>
      </c>
      <c r="C62" s="101">
        <f>SUMIFS('Izdevumi (Pielikums Nr.1)'!$AQ$8:$AQ$562, 'Izdevumi (Pielikums Nr.1)'!$A$8:$A$562,analīzei!$A62,'Izdevumi (Pielikums Nr.1)'!$B$8:$B$562,analīzei!C$51)</f>
        <v>18936</v>
      </c>
      <c r="D62" s="102">
        <f t="shared" si="8"/>
        <v>48113</v>
      </c>
    </row>
    <row r="63" spans="1:4" x14ac:dyDescent="0.25">
      <c r="A63" s="28" t="s">
        <v>241</v>
      </c>
      <c r="B63" s="101">
        <f>SUMIFS('Izdevumi (Pielikums Nr.1)'!$AQ$8:$AQ$562, 'Izdevumi (Pielikums Nr.1)'!$A$8:$A$562,analīzei!$A63,'Izdevumi (Pielikums Nr.1)'!$B$8:$B$562,analīzei!B$51)</f>
        <v>32668</v>
      </c>
      <c r="C63" s="101">
        <f>SUMIFS('Izdevumi (Pielikums Nr.1)'!$AQ$8:$AQ$562, 'Izdevumi (Pielikums Nr.1)'!$A$8:$A$562,analīzei!$A63,'Izdevumi (Pielikums Nr.1)'!$B$8:$B$562,analīzei!C$51)</f>
        <v>21202</v>
      </c>
      <c r="D63" s="102">
        <f t="shared" si="8"/>
        <v>53870</v>
      </c>
    </row>
    <row r="64" spans="1:4" x14ac:dyDescent="0.25">
      <c r="A64" s="28" t="s">
        <v>249</v>
      </c>
      <c r="B64" s="101">
        <f>SUMIFS('Izdevumi (Pielikums Nr.1)'!$AQ$8:$AQ$562, 'Izdevumi (Pielikums Nr.1)'!$A$8:$A$562,analīzei!$A64,'Izdevumi (Pielikums Nr.1)'!$B$8:$B$562,analīzei!B$51)</f>
        <v>33198</v>
      </c>
      <c r="C64" s="101">
        <f>SUMIFS('Izdevumi (Pielikums Nr.1)'!$AQ$8:$AQ$562, 'Izdevumi (Pielikums Nr.1)'!$A$8:$A$562,analīzei!$A64,'Izdevumi (Pielikums Nr.1)'!$B$8:$B$562,analīzei!C$51)</f>
        <v>21545</v>
      </c>
      <c r="D64" s="102">
        <f t="shared" si="8"/>
        <v>54743</v>
      </c>
    </row>
    <row r="65" spans="1:4" x14ac:dyDescent="0.25">
      <c r="A65" s="28" t="s">
        <v>264</v>
      </c>
      <c r="B65" s="101">
        <f>SUMIFS('Izdevumi (Pielikums Nr.1)'!$AQ$8:$AQ$562, 'Izdevumi (Pielikums Nr.1)'!$A$8:$A$562,analīzei!$A65,'Izdevumi (Pielikums Nr.1)'!$B$8:$B$562,analīzei!B$51)</f>
        <v>19837</v>
      </c>
      <c r="C65" s="101">
        <f>SUMIFS('Izdevumi (Pielikums Nr.1)'!$AQ$8:$AQ$562, 'Izdevumi (Pielikums Nr.1)'!$A$8:$A$562,analīzei!$A65,'Izdevumi (Pielikums Nr.1)'!$B$8:$B$562,analīzei!C$51)</f>
        <v>12875</v>
      </c>
      <c r="D65" s="102">
        <f t="shared" si="8"/>
        <v>32712</v>
      </c>
    </row>
    <row r="66" spans="1:4" x14ac:dyDescent="0.25">
      <c r="A66" s="28" t="s">
        <v>271</v>
      </c>
      <c r="B66" s="101">
        <f>SUMIFS('Izdevumi (Pielikums Nr.1)'!$AQ$8:$AQ$562, 'Izdevumi (Pielikums Nr.1)'!$A$8:$A$562,analīzei!$A66,'Izdevumi (Pielikums Nr.1)'!$B$8:$B$562,analīzei!B$51)</f>
        <v>242506</v>
      </c>
      <c r="C66" s="101">
        <f>SUMIFS('Izdevumi (Pielikums Nr.1)'!$AQ$8:$AQ$562, 'Izdevumi (Pielikums Nr.1)'!$A$8:$A$562,analīzei!$A66,'Izdevumi (Pielikums Nr.1)'!$B$8:$B$562,analīzei!C$51)</f>
        <v>157388</v>
      </c>
      <c r="D66" s="102">
        <f t="shared" si="8"/>
        <v>399894</v>
      </c>
    </row>
    <row r="67" spans="1:4" hidden="1" x14ac:dyDescent="0.25">
      <c r="A67" s="99" t="s">
        <v>332</v>
      </c>
      <c r="B67" s="101">
        <f>SUMIFS('Izdevumi (Pielikums Nr.1)'!$AQ$8:$AQ$562, 'Izdevumi (Pielikums Nr.1)'!$A$8:$A$562,analīzei!$A67,'Izdevumi (Pielikums Nr.1)'!$B$8:$B$562,analīzei!B$51)</f>
        <v>0</v>
      </c>
      <c r="C67" s="101">
        <f>SUMIFS('Izdevumi (Pielikums Nr.1)'!$AQ$8:$AQ$562, 'Izdevumi (Pielikums Nr.1)'!$A$8:$A$562,analīzei!$A67,'Izdevumi (Pielikums Nr.1)'!$B$8:$B$562,analīzei!C$51)</f>
        <v>0</v>
      </c>
      <c r="D67" s="102">
        <f t="shared" si="8"/>
        <v>0</v>
      </c>
    </row>
    <row r="68" spans="1:4" ht="15.75" x14ac:dyDescent="0.25">
      <c r="A68" s="78" t="s">
        <v>581</v>
      </c>
      <c r="B68" s="103">
        <f>SUM(B52:B67)</f>
        <v>644048</v>
      </c>
      <c r="C68" s="103">
        <f t="shared" ref="C68:D68" si="9">SUM(C52:C67)</f>
        <v>417993</v>
      </c>
      <c r="D68" s="103">
        <f t="shared" si="9"/>
        <v>1062041</v>
      </c>
    </row>
    <row r="71" spans="1:4" x14ac:dyDescent="0.25">
      <c r="A71" s="135" t="s">
        <v>586</v>
      </c>
    </row>
    <row r="72" spans="1:4" x14ac:dyDescent="0.25">
      <c r="B72" s="50" t="s">
        <v>482</v>
      </c>
      <c r="C72" s="50" t="s">
        <v>483</v>
      </c>
    </row>
    <row r="73" spans="1:4" s="76" customFormat="1" x14ac:dyDescent="0.25">
      <c r="A73" s="142" t="s">
        <v>586</v>
      </c>
      <c r="B73" s="142">
        <f>SUM(B74:B81)</f>
        <v>26068025</v>
      </c>
      <c r="C73" s="142">
        <f>SUM(C74:C81)</f>
        <v>25162984</v>
      </c>
      <c r="D73" s="76">
        <f>C73-B73</f>
        <v>-905041</v>
      </c>
    </row>
    <row r="74" spans="1:4" x14ac:dyDescent="0.25">
      <c r="A74" s="143" t="s">
        <v>587</v>
      </c>
      <c r="B74" s="143">
        <f>'Kopsavilkums (Pielikums Nr.3)'!E22</f>
        <v>5314915</v>
      </c>
      <c r="C74" s="143">
        <f>'Kopsavilkums (Pielikums Nr.3)'!F22</f>
        <v>5659131</v>
      </c>
      <c r="D74">
        <f>C74-B74</f>
        <v>344216</v>
      </c>
    </row>
    <row r="75" spans="1:4" x14ac:dyDescent="0.25">
      <c r="A75" s="143" t="s">
        <v>511</v>
      </c>
      <c r="B75" s="143">
        <f>'Kopsavilkums (Pielikums Nr.3)'!E23</f>
        <v>407000</v>
      </c>
      <c r="C75" s="143">
        <f>'Kopsavilkums (Pielikums Nr.3)'!F23</f>
        <v>357000</v>
      </c>
    </row>
    <row r="76" spans="1:4" x14ac:dyDescent="0.25">
      <c r="A76" s="143" t="s">
        <v>442</v>
      </c>
      <c r="B76" s="143">
        <f>'Kopsavilkums (Pielikums Nr.3)'!E14</f>
        <v>18000</v>
      </c>
      <c r="C76" s="143">
        <f>'Kopsavilkums (Pielikums Nr.3)'!F14</f>
        <v>20000</v>
      </c>
    </row>
    <row r="77" spans="1:4" x14ac:dyDescent="0.25">
      <c r="A77" s="143" t="s">
        <v>467</v>
      </c>
      <c r="B77" s="143">
        <f>'Kopsavilkums (Pielikums Nr.3)'!E21</f>
        <v>6740370</v>
      </c>
      <c r="C77" s="143">
        <f>'Kopsavilkums (Pielikums Nr.3)'!F21</f>
        <v>6282296</v>
      </c>
    </row>
    <row r="78" spans="1:4" x14ac:dyDescent="0.25">
      <c r="A78" s="143" t="s">
        <v>440</v>
      </c>
      <c r="B78" s="143">
        <f>'Kopsavilkums (Pielikums Nr.3)'!E13</f>
        <v>1235623</v>
      </c>
      <c r="C78" s="143">
        <f>'Kopsavilkums (Pielikums Nr.3)'!F13</f>
        <v>1230207</v>
      </c>
    </row>
    <row r="79" spans="1:4" x14ac:dyDescent="0.25">
      <c r="A79" s="143" t="s">
        <v>454</v>
      </c>
      <c r="B79" s="143">
        <f>'Kopsavilkums (Pielikums Nr.3)'!E12</f>
        <v>11054274</v>
      </c>
      <c r="C79" s="143">
        <f>'Kopsavilkums (Pielikums Nr.3)'!F12</f>
        <v>10573284</v>
      </c>
    </row>
    <row r="80" spans="1:4" x14ac:dyDescent="0.25">
      <c r="A80" s="143" t="s">
        <v>588</v>
      </c>
      <c r="B80" s="143">
        <f>'Kopsavilkums (Pielikums Nr.3)'!E24</f>
        <v>1253393</v>
      </c>
      <c r="C80" s="143">
        <f>'Kopsavilkums (Pielikums Nr.3)'!F24</f>
        <v>1008825</v>
      </c>
    </row>
    <row r="81" spans="1:4" x14ac:dyDescent="0.25">
      <c r="A81" s="143" t="s">
        <v>589</v>
      </c>
      <c r="B81" s="143">
        <f>'Kopsavilkums (Pielikums Nr.3)'!E18+'Kopsavilkums (Pielikums Nr.3)'!E16+'Kopsavilkums (Pielikums Nr.3)'!E17+'Kopsavilkums (Pielikums Nr.3)'!E15</f>
        <v>44450</v>
      </c>
      <c r="C81" s="143">
        <f>'Kopsavilkums (Pielikums Nr.3)'!F18+'Kopsavilkums (Pielikums Nr.3)'!F16+'Kopsavilkums (Pielikums Nr.3)'!F17+'Kopsavilkums (Pielikums Nr.3)'!F15</f>
        <v>32241</v>
      </c>
    </row>
    <row r="86" spans="1:4" x14ac:dyDescent="0.25">
      <c r="A86" s="135" t="s">
        <v>590</v>
      </c>
    </row>
    <row r="87" spans="1:4" x14ac:dyDescent="0.25">
      <c r="A87" s="135"/>
    </row>
    <row r="88" spans="1:4" x14ac:dyDescent="0.25">
      <c r="B88" s="50" t="s">
        <v>482</v>
      </c>
      <c r="C88" s="50" t="s">
        <v>483</v>
      </c>
    </row>
    <row r="89" spans="1:4" ht="15.75" x14ac:dyDescent="0.25">
      <c r="A89" s="79" t="s">
        <v>591</v>
      </c>
      <c r="B89" s="79">
        <f>SUM(B90:B96)</f>
        <v>26068025</v>
      </c>
      <c r="C89" s="79">
        <f>SUM(C90:C96)</f>
        <v>27242399</v>
      </c>
      <c r="D89">
        <f>C89-B89</f>
        <v>1174374</v>
      </c>
    </row>
    <row r="90" spans="1:4" x14ac:dyDescent="0.25">
      <c r="A90" s="111" t="s">
        <v>558</v>
      </c>
      <c r="B90" s="143">
        <f>'Kopsavilkums (Pielikums Nr.3)'!E57</f>
        <v>10759712</v>
      </c>
      <c r="C90" s="143">
        <f>'Kopsavilkums (Pielikums Nr.3)'!F57</f>
        <v>11480580</v>
      </c>
      <c r="D90">
        <f>C90*100/$C$89</f>
        <v>42.142323809294474</v>
      </c>
    </row>
    <row r="91" spans="1:4" x14ac:dyDescent="0.25">
      <c r="A91" s="143" t="s">
        <v>565</v>
      </c>
      <c r="B91" s="143">
        <f>'Kopsavilkums (Pielikums Nr.3)'!E63</f>
        <v>3109274</v>
      </c>
      <c r="C91" s="143">
        <f>'Kopsavilkums (Pielikums Nr.3)'!F63</f>
        <v>3522202</v>
      </c>
      <c r="D91">
        <f t="shared" ref="D91:D96" si="10">C91*100/$C$89</f>
        <v>12.92911832030652</v>
      </c>
    </row>
    <row r="92" spans="1:4" x14ac:dyDescent="0.25">
      <c r="A92" t="s">
        <v>530</v>
      </c>
      <c r="B92" s="143">
        <f>'Kopsavilkums (Pielikums Nr.3)'!E36</f>
        <v>382930</v>
      </c>
      <c r="C92" s="143">
        <f>'Kopsavilkums (Pielikums Nr.3)'!F36</f>
        <v>301130</v>
      </c>
      <c r="D92">
        <f t="shared" si="10"/>
        <v>1.1053725481371885</v>
      </c>
    </row>
    <row r="93" spans="1:4" ht="30" customHeight="1" x14ac:dyDescent="0.25">
      <c r="A93" s="112" t="s">
        <v>592</v>
      </c>
      <c r="B93" s="143">
        <f>'Kopsavilkums (Pielikums Nr.3)'!E68</f>
        <v>1503868</v>
      </c>
      <c r="C93" s="143">
        <f>'Kopsavilkums (Pielikums Nr.3)'!F68</f>
        <v>1630553</v>
      </c>
      <c r="D93">
        <f t="shared" si="10"/>
        <v>5.9853502622878407</v>
      </c>
    </row>
    <row r="94" spans="1:4" ht="42.75" customHeight="1" x14ac:dyDescent="0.25">
      <c r="A94" s="113" t="s">
        <v>593</v>
      </c>
      <c r="B94" s="143">
        <f>'Kopsavilkums (Pielikums Nr.3)'!E32+'Kopsavilkums (Pielikums Nr.3)'!E27+'Kopsavilkums (Pielikums Nr.3)'!E41+'Kopsavilkums (Pielikums Nr.3)'!E50</f>
        <v>2992841</v>
      </c>
      <c r="C94" s="143">
        <f>'Kopsavilkums (Pielikums Nr.3)'!F32+'Kopsavilkums (Pielikums Nr.3)'!F27+'Kopsavilkums (Pielikums Nr.3)'!F41+'Kopsavilkums (Pielikums Nr.3)'!F50</f>
        <v>3109295</v>
      </c>
      <c r="D94">
        <f t="shared" si="10"/>
        <v>11.413440497659549</v>
      </c>
    </row>
    <row r="95" spans="1:4" x14ac:dyDescent="0.25">
      <c r="A95" s="115" t="s">
        <v>594</v>
      </c>
      <c r="B95" s="114">
        <f>'Kopsavilkums (Pielikums Nr.3)'!E52</f>
        <v>2739523</v>
      </c>
      <c r="C95" s="114">
        <f>'Kopsavilkums (Pielikums Nr.3)'!F52</f>
        <v>2544947</v>
      </c>
      <c r="D95">
        <f t="shared" si="10"/>
        <v>9.3418608251057478</v>
      </c>
    </row>
    <row r="96" spans="1:4" x14ac:dyDescent="0.25">
      <c r="A96" s="143" t="s">
        <v>595</v>
      </c>
      <c r="B96" s="143">
        <f>'Kopsavilkums (Pielikums Nr.3)'!E46</f>
        <v>4579877</v>
      </c>
      <c r="C96" s="143">
        <f>'Kopsavilkums (Pielikums Nr.3)'!F46</f>
        <v>4653692</v>
      </c>
      <c r="D96">
        <f t="shared" si="10"/>
        <v>17.082533737208681</v>
      </c>
    </row>
    <row r="102" spans="1:7" x14ac:dyDescent="0.25">
      <c r="A102" s="135" t="s">
        <v>596</v>
      </c>
    </row>
    <row r="103" spans="1:7" x14ac:dyDescent="0.25">
      <c r="B103" s="50" t="s">
        <v>482</v>
      </c>
      <c r="C103" s="50" t="s">
        <v>483</v>
      </c>
      <c r="D103" s="88"/>
      <c r="E103" s="88"/>
      <c r="F103" s="88"/>
      <c r="G103" s="88"/>
    </row>
    <row r="104" spans="1:7" ht="15.75" x14ac:dyDescent="0.25">
      <c r="A104" s="79" t="s">
        <v>591</v>
      </c>
      <c r="B104" s="79">
        <f>SUM(B105:B106,B114:B123)</f>
        <v>26068025</v>
      </c>
      <c r="C104" s="79">
        <f>SUM(C105:C106,C114:C123)</f>
        <v>27242399</v>
      </c>
      <c r="D104" s="167">
        <f>C104/$C$104</f>
        <v>1</v>
      </c>
      <c r="E104" s="88"/>
      <c r="F104" s="88"/>
      <c r="G104" s="88"/>
    </row>
    <row r="105" spans="1:7" x14ac:dyDescent="0.25">
      <c r="A105" s="142" t="s">
        <v>597</v>
      </c>
      <c r="B105" s="142">
        <f>'Izdevumi (Pielikums Nr.1)'!D562</f>
        <v>14362500</v>
      </c>
      <c r="C105" s="144">
        <f>'Izdevumi (Pielikums Nr.1)'!E562</f>
        <v>15522626</v>
      </c>
      <c r="D105" s="169">
        <f>C105/$C$104</f>
        <v>0.56979658803176625</v>
      </c>
      <c r="E105" s="120"/>
      <c r="F105" s="88"/>
      <c r="G105" s="88"/>
    </row>
    <row r="106" spans="1:7" x14ac:dyDescent="0.25">
      <c r="A106" s="142" t="s">
        <v>598</v>
      </c>
      <c r="B106" s="142">
        <f>SUM(B107:B113)</f>
        <v>2069911</v>
      </c>
      <c r="C106" s="144">
        <f>SUM(C107:C113)</f>
        <v>2078630</v>
      </c>
      <c r="D106" s="169">
        <f t="shared" ref="D106:D125" si="11">C106/$C$104</f>
        <v>7.6301283157918648E-2</v>
      </c>
      <c r="E106" s="120"/>
      <c r="F106" s="88"/>
      <c r="G106" s="88"/>
    </row>
    <row r="107" spans="1:7" x14ac:dyDescent="0.25">
      <c r="A107" s="102" t="s">
        <v>599</v>
      </c>
      <c r="B107" s="143">
        <f>'Izdevumi (Pielikums Nr.1)'!F562</f>
        <v>103537</v>
      </c>
      <c r="C107" s="151">
        <f>'Izdevumi (Pielikums Nr.1)'!G562</f>
        <v>100125</v>
      </c>
      <c r="D107" s="169">
        <f t="shared" si="11"/>
        <v>3.6753371096282673E-3</v>
      </c>
      <c r="E107" s="88"/>
      <c r="F107" s="88"/>
      <c r="G107" s="88"/>
    </row>
    <row r="108" spans="1:7" x14ac:dyDescent="0.25">
      <c r="A108" s="102" t="s">
        <v>600</v>
      </c>
      <c r="B108" s="143">
        <f>'Izdevumi (Pielikums Nr.1)'!H562</f>
        <v>643416</v>
      </c>
      <c r="C108" s="151">
        <f>'Izdevumi (Pielikums Nr.1)'!I562</f>
        <v>687452</v>
      </c>
      <c r="D108" s="169">
        <f t="shared" si="11"/>
        <v>2.5234635172915573E-2</v>
      </c>
      <c r="E108" s="88"/>
      <c r="F108" s="88"/>
      <c r="G108" s="88"/>
    </row>
    <row r="109" spans="1:7" x14ac:dyDescent="0.25">
      <c r="A109" s="102" t="s">
        <v>601</v>
      </c>
      <c r="B109" s="143">
        <f>'Izdevumi (Pielikums Nr.1)'!J562</f>
        <v>132272</v>
      </c>
      <c r="C109" s="151">
        <f>'Izdevumi (Pielikums Nr.1)'!K562</f>
        <v>134826</v>
      </c>
      <c r="D109" s="169">
        <f t="shared" si="11"/>
        <v>4.9491236069187589E-3</v>
      </c>
      <c r="E109" s="88"/>
      <c r="F109" s="88"/>
      <c r="G109" s="88"/>
    </row>
    <row r="110" spans="1:7" x14ac:dyDescent="0.25">
      <c r="A110" s="116" t="s">
        <v>602</v>
      </c>
      <c r="B110" s="143">
        <f>'Izdevumi (Pielikums Nr.1)'!L562</f>
        <v>528699</v>
      </c>
      <c r="C110" s="151">
        <f>'Izdevumi (Pielikums Nr.1)'!M562</f>
        <v>545288</v>
      </c>
      <c r="D110" s="169">
        <f t="shared" si="11"/>
        <v>2.0016152028314395E-2</v>
      </c>
      <c r="E110" s="88"/>
      <c r="F110" s="88"/>
      <c r="G110" s="88"/>
    </row>
    <row r="111" spans="1:7" x14ac:dyDescent="0.25">
      <c r="A111" s="116" t="s">
        <v>603</v>
      </c>
      <c r="B111" s="143">
        <f>'Izdevumi (Pielikums Nr.1)'!N562</f>
        <v>97611</v>
      </c>
      <c r="C111" s="151">
        <f>'Izdevumi (Pielikums Nr.1)'!O562</f>
        <v>95777</v>
      </c>
      <c r="D111" s="169">
        <f t="shared" si="11"/>
        <v>3.5157329572920505E-3</v>
      </c>
      <c r="E111" s="88"/>
      <c r="F111" s="88"/>
      <c r="G111" s="88"/>
    </row>
    <row r="112" spans="1:7" x14ac:dyDescent="0.25">
      <c r="A112" s="116" t="s">
        <v>604</v>
      </c>
      <c r="B112" s="143">
        <f>'Izdevumi (Pielikums Nr.1)'!P562</f>
        <v>189545</v>
      </c>
      <c r="C112" s="151">
        <f>'Izdevumi (Pielikums Nr.1)'!Q562</f>
        <v>158704</v>
      </c>
      <c r="D112" s="169">
        <f t="shared" si="11"/>
        <v>5.8256249752453885E-3</v>
      </c>
      <c r="E112" s="88"/>
      <c r="F112" s="88"/>
      <c r="G112" s="88"/>
    </row>
    <row r="113" spans="1:7" x14ac:dyDescent="0.25">
      <c r="A113" s="116" t="s">
        <v>605</v>
      </c>
      <c r="B113" s="143">
        <f>'Izdevumi (Pielikums Nr.1)'!R562</f>
        <v>374831</v>
      </c>
      <c r="C113" s="151">
        <f>'Izdevumi (Pielikums Nr.1)'!S562</f>
        <v>356458</v>
      </c>
      <c r="D113" s="169">
        <f t="shared" si="11"/>
        <v>1.3084677307604224E-2</v>
      </c>
      <c r="E113" s="88"/>
      <c r="F113" s="88"/>
      <c r="G113" s="88"/>
    </row>
    <row r="114" spans="1:7" x14ac:dyDescent="0.25">
      <c r="A114" s="118" t="s">
        <v>606</v>
      </c>
      <c r="B114" s="142">
        <f>'Izdevumi (Pielikums Nr.1)'!T562</f>
        <v>806522</v>
      </c>
      <c r="C114" s="144">
        <f>'Izdevumi (Pielikums Nr.1)'!U562</f>
        <v>808119</v>
      </c>
      <c r="D114" s="169">
        <f t="shared" si="11"/>
        <v>2.9664017475112967E-2</v>
      </c>
      <c r="E114" s="120"/>
      <c r="F114" s="88"/>
      <c r="G114" s="88"/>
    </row>
    <row r="115" spans="1:7" x14ac:dyDescent="0.25">
      <c r="A115" s="118" t="s">
        <v>97</v>
      </c>
      <c r="B115" s="142">
        <f>'Izdevumi (Pielikums Nr.1)'!V562</f>
        <v>199693</v>
      </c>
      <c r="C115" s="144">
        <f>'Izdevumi (Pielikums Nr.1)'!W562</f>
        <v>187863</v>
      </c>
      <c r="D115" s="169">
        <f t="shared" si="11"/>
        <v>6.8959785810346584E-3</v>
      </c>
      <c r="E115" s="120"/>
      <c r="F115" s="120"/>
      <c r="G115" s="88"/>
    </row>
    <row r="116" spans="1:7" x14ac:dyDescent="0.25">
      <c r="A116" s="118" t="s">
        <v>607</v>
      </c>
      <c r="B116" s="142">
        <f>'Izdevumi (Pielikums Nr.1)'!X562</f>
        <v>20722</v>
      </c>
      <c r="C116" s="144">
        <f>'Izdevumi (Pielikums Nr.1)'!Y562</f>
        <v>5808</v>
      </c>
      <c r="D116" s="169">
        <f t="shared" si="11"/>
        <v>2.1319708297349289E-4</v>
      </c>
      <c r="E116" s="120"/>
      <c r="F116" s="120"/>
      <c r="G116" s="120"/>
    </row>
    <row r="117" spans="1:7" x14ac:dyDescent="0.25">
      <c r="A117" s="118" t="s">
        <v>608</v>
      </c>
      <c r="B117" s="142">
        <f>'Izdevumi (Pielikums Nr.1)'!AB562</f>
        <v>21430</v>
      </c>
      <c r="C117" s="142">
        <f>'Izdevumi (Pielikums Nr.1)'!AC562</f>
        <v>14861</v>
      </c>
      <c r="D117" s="169">
        <f t="shared" si="11"/>
        <v>5.4550996041134259E-4</v>
      </c>
      <c r="E117" s="120"/>
      <c r="F117" s="88"/>
      <c r="G117" s="88"/>
    </row>
    <row r="118" spans="1:7" x14ac:dyDescent="0.25">
      <c r="A118" s="118" t="s">
        <v>609</v>
      </c>
      <c r="B118" s="142">
        <f>'Izdevumi (Pielikums Nr.1)'!AD562</f>
        <v>5289650</v>
      </c>
      <c r="C118" s="142">
        <f>'Izdevumi (Pielikums Nr.1)'!AE562</f>
        <v>4966791</v>
      </c>
      <c r="D118" s="169">
        <f t="shared" si="11"/>
        <v>0.18231841476222413</v>
      </c>
      <c r="E118" s="120"/>
      <c r="F118" s="88"/>
      <c r="G118" s="88"/>
    </row>
    <row r="119" spans="1:7" x14ac:dyDescent="0.25">
      <c r="A119" s="118" t="s">
        <v>610</v>
      </c>
      <c r="B119" s="142">
        <f>'Izdevumi (Pielikums Nr.1)'!AF562</f>
        <v>1171231</v>
      </c>
      <c r="C119" s="142">
        <f>'Izdevumi (Pielikums Nr.1)'!AG562</f>
        <v>1223796</v>
      </c>
      <c r="D119" s="169">
        <f t="shared" si="11"/>
        <v>4.4922475439846545E-2</v>
      </c>
      <c r="E119" s="120"/>
      <c r="F119" s="88"/>
      <c r="G119" s="88"/>
    </row>
    <row r="120" spans="1:7" x14ac:dyDescent="0.25">
      <c r="A120" s="118" t="s">
        <v>611</v>
      </c>
      <c r="B120" s="142">
        <f>'Izdevumi (Pielikums Nr.1)'!AH562</f>
        <v>97986</v>
      </c>
      <c r="C120" s="142">
        <f>'Izdevumi (Pielikums Nr.1)'!AI562</f>
        <v>127181</v>
      </c>
      <c r="D120" s="169">
        <f t="shared" si="11"/>
        <v>4.6684948708078169E-3</v>
      </c>
      <c r="E120" s="120"/>
      <c r="F120" s="88"/>
      <c r="G120" s="88"/>
    </row>
    <row r="121" spans="1:7" x14ac:dyDescent="0.25">
      <c r="A121" s="118" t="s">
        <v>612</v>
      </c>
      <c r="B121" s="142">
        <f>'Izdevumi (Pielikums Nr.1)'!AJ562</f>
        <v>123456</v>
      </c>
      <c r="C121" s="142">
        <f>'Izdevumi (Pielikums Nr.1)'!AK562</f>
        <v>12500</v>
      </c>
      <c r="D121" s="169">
        <f t="shared" si="11"/>
        <v>4.5884358422325437E-4</v>
      </c>
      <c r="E121" s="120"/>
      <c r="F121" s="88"/>
      <c r="G121" s="88"/>
    </row>
    <row r="122" spans="1:7" x14ac:dyDescent="0.25">
      <c r="A122" s="118" t="s">
        <v>613</v>
      </c>
      <c r="B122" s="142">
        <f>'Izdevumi (Pielikums Nr.1)'!AL562</f>
        <v>1403627</v>
      </c>
      <c r="C122" s="142">
        <f>'Izdevumi (Pielikums Nr.1)'!AM562</f>
        <v>1641898</v>
      </c>
      <c r="D122" s="169">
        <f t="shared" si="11"/>
        <v>6.0269949059919427E-2</v>
      </c>
      <c r="E122" s="120"/>
      <c r="F122" s="88"/>
      <c r="G122" s="88"/>
    </row>
    <row r="123" spans="1:7" x14ac:dyDescent="0.25">
      <c r="A123" s="118" t="s">
        <v>614</v>
      </c>
      <c r="B123" s="142">
        <f>'Izdevumi (Pielikums Nr.1)'!AN562</f>
        <v>501297</v>
      </c>
      <c r="C123" s="142">
        <f>'Izdevumi (Pielikums Nr.1)'!AO562</f>
        <v>652326</v>
      </c>
      <c r="D123" s="169">
        <f t="shared" si="11"/>
        <v>2.3945247993761489E-2</v>
      </c>
      <c r="E123" s="120"/>
      <c r="F123" s="88"/>
      <c r="G123" s="88"/>
    </row>
    <row r="124" spans="1:7" x14ac:dyDescent="0.25">
      <c r="A124" s="117"/>
      <c r="B124" s="88"/>
      <c r="D124" s="88"/>
      <c r="E124" s="88"/>
      <c r="F124" s="88"/>
      <c r="G124" s="88"/>
    </row>
    <row r="125" spans="1:7" x14ac:dyDescent="0.25">
      <c r="A125" s="118" t="s">
        <v>615</v>
      </c>
      <c r="B125" s="143">
        <f>B121+B120+B116</f>
        <v>242164</v>
      </c>
      <c r="C125" s="143">
        <f>C121+C120+C116</f>
        <v>145489</v>
      </c>
      <c r="D125" s="167">
        <f t="shared" si="11"/>
        <v>5.3405355380045641E-3</v>
      </c>
    </row>
    <row r="130" spans="1:7" x14ac:dyDescent="0.25">
      <c r="E130" s="142" t="s">
        <v>616</v>
      </c>
      <c r="F130" s="142" t="s">
        <v>106</v>
      </c>
      <c r="G130" s="142" t="s">
        <v>108</v>
      </c>
    </row>
    <row r="131" spans="1:7" x14ac:dyDescent="0.25">
      <c r="A131" s="131" t="s">
        <v>515</v>
      </c>
      <c r="B131" s="173" t="s">
        <v>516</v>
      </c>
      <c r="C131" s="174"/>
      <c r="D131" s="175"/>
      <c r="E131" s="143"/>
      <c r="F131" s="143"/>
      <c r="G131" s="143">
        <f>E131+F131</f>
        <v>0</v>
      </c>
    </row>
    <row r="132" spans="1:7" x14ac:dyDescent="0.25">
      <c r="A132" s="132" t="s">
        <v>57</v>
      </c>
      <c r="B132" s="179" t="s">
        <v>517</v>
      </c>
      <c r="C132" s="180"/>
      <c r="D132" s="181"/>
      <c r="E132" s="143">
        <f>SUMIF('algu apr.'!$C$8:$C$554,analīzei!A132,'algu apr.'!$F$8:$F$554)</f>
        <v>36414</v>
      </c>
      <c r="F132" s="143">
        <f>SUMIF('algu apr.'!$C$8:$C$554,analīzei!A132,'algu apr.'!$G$8:$G$554)</f>
        <v>37928</v>
      </c>
      <c r="G132" s="143">
        <f t="shared" ref="G132:G171" si="12">E132+F132</f>
        <v>74342</v>
      </c>
    </row>
    <row r="133" spans="1:7" x14ac:dyDescent="0.25">
      <c r="A133" s="132" t="s">
        <v>518</v>
      </c>
      <c r="B133" s="179" t="s">
        <v>519</v>
      </c>
      <c r="C133" s="180"/>
      <c r="D133" s="181"/>
      <c r="E133" s="143">
        <f>SUMIF('algu apr.'!$C$8:$C$554,analīzei!A133,'algu apr.'!$F$8:$F$554)</f>
        <v>0</v>
      </c>
      <c r="F133" s="143">
        <f>SUMIF('algu apr.'!$C$8:$C$554,analīzei!A133,'algu apr.'!$G$8:$G$554)</f>
        <v>0</v>
      </c>
      <c r="G133" s="143">
        <f t="shared" si="12"/>
        <v>0</v>
      </c>
    </row>
    <row r="134" spans="1:7" x14ac:dyDescent="0.25">
      <c r="A134" s="132" t="s">
        <v>401</v>
      </c>
      <c r="B134" s="179" t="s">
        <v>520</v>
      </c>
      <c r="C134" s="180"/>
      <c r="D134" s="181"/>
      <c r="E134" s="143">
        <f>SUMIF('algu apr.'!$C$8:$C$554,analīzei!A134,'algu apr.'!$F$8:$F$554)</f>
        <v>0</v>
      </c>
      <c r="F134" s="143">
        <f>SUMIF('algu apr.'!$C$8:$C$554,analīzei!A134,'algu apr.'!$G$8:$G$554)</f>
        <v>0</v>
      </c>
      <c r="G134" s="143">
        <f t="shared" si="12"/>
        <v>0</v>
      </c>
    </row>
    <row r="135" spans="1:7" x14ac:dyDescent="0.25">
      <c r="A135" s="132" t="s">
        <v>521</v>
      </c>
      <c r="B135" s="179" t="s">
        <v>522</v>
      </c>
      <c r="C135" s="180"/>
      <c r="D135" s="181"/>
      <c r="E135" s="143">
        <f>SUMIF('algu apr.'!$C$8:$C$554,analīzei!A135,'algu apr.'!$F$8:$F$554)</f>
        <v>0</v>
      </c>
      <c r="F135" s="143">
        <f>SUMIF('algu apr.'!$C$8:$C$554,analīzei!A135,'algu apr.'!$G$8:$G$554)</f>
        <v>0</v>
      </c>
      <c r="G135" s="143">
        <f t="shared" si="12"/>
        <v>0</v>
      </c>
    </row>
    <row r="136" spans="1:7" x14ac:dyDescent="0.25">
      <c r="A136" s="131" t="s">
        <v>523</v>
      </c>
      <c r="B136" s="173" t="s">
        <v>524</v>
      </c>
      <c r="C136" s="174"/>
      <c r="D136" s="175"/>
      <c r="E136" s="143">
        <f>SUMIF('algu apr.'!$C$8:$C$554,analīzei!A136,'algu apr.'!$F$8:$F$554)</f>
        <v>0</v>
      </c>
      <c r="F136" s="143">
        <f>SUMIF('algu apr.'!$C$8:$C$554,analīzei!A136,'algu apr.'!$G$8:$G$554)</f>
        <v>0</v>
      </c>
      <c r="G136" s="143">
        <f t="shared" si="12"/>
        <v>0</v>
      </c>
    </row>
    <row r="137" spans="1:7" x14ac:dyDescent="0.25">
      <c r="A137" s="130" t="s">
        <v>525</v>
      </c>
      <c r="B137" s="176" t="s">
        <v>617</v>
      </c>
      <c r="C137" s="177"/>
      <c r="D137" s="178"/>
      <c r="E137" s="143">
        <f>SUMIF('algu apr.'!$C$8:$C$554,analīzei!A137,'algu apr.'!$F$8:$F$554)</f>
        <v>0</v>
      </c>
      <c r="F137" s="143">
        <f>SUMIF('algu apr.'!$C$8:$C$554,analīzei!A137,'algu apr.'!$G$8:$G$554)</f>
        <v>0</v>
      </c>
      <c r="G137" s="143">
        <f t="shared" si="12"/>
        <v>0</v>
      </c>
    </row>
    <row r="138" spans="1:7" x14ac:dyDescent="0.25">
      <c r="A138" s="130" t="s">
        <v>268</v>
      </c>
      <c r="B138" s="176" t="s">
        <v>618</v>
      </c>
      <c r="C138" s="177"/>
      <c r="D138" s="178"/>
      <c r="E138" s="143">
        <f>SUMIF('algu apr.'!$C$8:$C$554,analīzei!A138,'algu apr.'!$F$8:$F$554)</f>
        <v>0</v>
      </c>
      <c r="F138" s="143">
        <f>SUMIF('algu apr.'!$C$8:$C$554,analīzei!A138,'algu apr.'!$G$8:$G$554)</f>
        <v>0</v>
      </c>
      <c r="G138" s="143">
        <f t="shared" si="12"/>
        <v>0</v>
      </c>
    </row>
    <row r="139" spans="1:7" x14ac:dyDescent="0.25">
      <c r="A139" s="130" t="s">
        <v>152</v>
      </c>
      <c r="B139" s="182" t="s">
        <v>528</v>
      </c>
      <c r="C139" s="183"/>
      <c r="D139" s="184"/>
      <c r="E139" s="143">
        <f>SUMIF('algu apr.'!$C$8:$C$554,analīzei!A139,'algu apr.'!$F$8:$F$554)</f>
        <v>0</v>
      </c>
      <c r="F139" s="143">
        <f>SUMIF('algu apr.'!$C$8:$C$554,analīzei!A139,'algu apr.'!$G$8:$G$554)</f>
        <v>0</v>
      </c>
      <c r="G139" s="143">
        <f t="shared" si="12"/>
        <v>0</v>
      </c>
    </row>
    <row r="140" spans="1:7" x14ac:dyDescent="0.25">
      <c r="A140" s="131" t="s">
        <v>529</v>
      </c>
      <c r="B140" s="173" t="s">
        <v>530</v>
      </c>
      <c r="C140" s="174"/>
      <c r="D140" s="175"/>
      <c r="E140" s="143">
        <f>SUMIF('algu apr.'!$C$8:$C$554,analīzei!A140,'algu apr.'!$F$8:$F$554)</f>
        <v>0</v>
      </c>
      <c r="F140" s="143">
        <f>SUMIF('algu apr.'!$C$8:$C$554,analīzei!A140,'algu apr.'!$G$8:$G$554)</f>
        <v>0</v>
      </c>
      <c r="G140" s="143">
        <f t="shared" si="12"/>
        <v>0</v>
      </c>
    </row>
    <row r="141" spans="1:7" x14ac:dyDescent="0.25">
      <c r="A141" s="130" t="s">
        <v>198</v>
      </c>
      <c r="B141" s="176" t="s">
        <v>619</v>
      </c>
      <c r="C141" s="177"/>
      <c r="D141" s="178"/>
      <c r="E141" s="143">
        <f>SUMIF('algu apr.'!$C$8:$C$554,analīzei!A141,'algu apr.'!$F$8:$F$554)</f>
        <v>0</v>
      </c>
      <c r="F141" s="143">
        <f>SUMIF('algu apr.'!$C$8:$C$554,analīzei!A141,'algu apr.'!$G$8:$G$554)</f>
        <v>0</v>
      </c>
      <c r="G141" s="143">
        <f t="shared" si="12"/>
        <v>0</v>
      </c>
    </row>
    <row r="142" spans="1:7" x14ac:dyDescent="0.25">
      <c r="A142" s="130" t="s">
        <v>399</v>
      </c>
      <c r="B142" s="176" t="s">
        <v>620</v>
      </c>
      <c r="C142" s="177"/>
      <c r="D142" s="178"/>
      <c r="E142" s="143">
        <f>SUMIF('algu apr.'!$C$8:$C$554,analīzei!A142,'algu apr.'!$F$8:$F$554)</f>
        <v>0</v>
      </c>
      <c r="F142" s="143">
        <f>SUMIF('algu apr.'!$C$8:$C$554,analīzei!A142,'algu apr.'!$G$8:$G$554)</f>
        <v>0</v>
      </c>
      <c r="G142" s="143">
        <f t="shared" si="12"/>
        <v>0</v>
      </c>
    </row>
    <row r="143" spans="1:7" x14ac:dyDescent="0.25">
      <c r="A143" s="130" t="s">
        <v>379</v>
      </c>
      <c r="B143" s="176" t="s">
        <v>533</v>
      </c>
      <c r="C143" s="177"/>
      <c r="D143" s="178"/>
      <c r="E143" s="143">
        <f>SUMIF('algu apr.'!$C$8:$C$554,analīzei!A143,'algu apr.'!$F$8:$F$554)</f>
        <v>0</v>
      </c>
      <c r="F143" s="143">
        <f>SUMIF('algu apr.'!$C$8:$C$554,analīzei!A143,'algu apr.'!$G$8:$G$554)</f>
        <v>0</v>
      </c>
      <c r="G143" s="143">
        <f t="shared" si="12"/>
        <v>0</v>
      </c>
    </row>
    <row r="144" spans="1:7" x14ac:dyDescent="0.25">
      <c r="A144" s="131" t="s">
        <v>407</v>
      </c>
      <c r="B144" s="173" t="s">
        <v>534</v>
      </c>
      <c r="C144" s="174"/>
      <c r="D144" s="175"/>
      <c r="E144" s="143">
        <f>SUMIF('algu apr.'!$C$8:$C$554,analīzei!A144,'algu apr.'!$F$8:$F$554)</f>
        <v>0</v>
      </c>
      <c r="F144" s="143">
        <f>SUMIF('algu apr.'!$C$8:$C$554,analīzei!A144,'algu apr.'!$G$8:$G$554)</f>
        <v>0</v>
      </c>
      <c r="G144" s="143">
        <f t="shared" si="12"/>
        <v>0</v>
      </c>
    </row>
    <row r="145" spans="1:7" x14ac:dyDescent="0.25">
      <c r="A145" s="131" t="s">
        <v>535</v>
      </c>
      <c r="B145" s="173" t="s">
        <v>536</v>
      </c>
      <c r="C145" s="174"/>
      <c r="D145" s="175"/>
      <c r="E145" s="143">
        <f>SUMIF('algu apr.'!$C$8:$C$554,analīzei!A145,'algu apr.'!$F$8:$F$554)</f>
        <v>0</v>
      </c>
      <c r="F145" s="143">
        <f>SUMIF('algu apr.'!$C$8:$C$554,analīzei!A145,'algu apr.'!$G$8:$G$554)</f>
        <v>0</v>
      </c>
      <c r="G145" s="143">
        <f t="shared" si="12"/>
        <v>0</v>
      </c>
    </row>
    <row r="146" spans="1:7" x14ac:dyDescent="0.25">
      <c r="A146" s="130" t="s">
        <v>537</v>
      </c>
      <c r="B146" s="176" t="s">
        <v>538</v>
      </c>
      <c r="C146" s="177"/>
      <c r="D146" s="178"/>
      <c r="E146" s="143">
        <f>SUMIF('algu apr.'!$C$8:$C$554,analīzei!A146,'algu apr.'!$F$8:$F$554)</f>
        <v>0</v>
      </c>
      <c r="F146" s="143">
        <f>SUMIF('algu apr.'!$C$8:$C$554,analīzei!A146,'algu apr.'!$G$8:$G$554)</f>
        <v>0</v>
      </c>
      <c r="G146" s="143">
        <f t="shared" si="12"/>
        <v>0</v>
      </c>
    </row>
    <row r="147" spans="1:7" x14ac:dyDescent="0.25">
      <c r="A147" s="130" t="s">
        <v>539</v>
      </c>
      <c r="B147" s="176" t="s">
        <v>540</v>
      </c>
      <c r="C147" s="177"/>
      <c r="D147" s="178"/>
      <c r="E147" s="143">
        <f>SUMIF('algu apr.'!$C$8:$C$554,analīzei!A147,'algu apr.'!$F$8:$F$554)</f>
        <v>0</v>
      </c>
      <c r="F147" s="143">
        <f>SUMIF('algu apr.'!$C$8:$C$554,analīzei!A147,'algu apr.'!$G$8:$G$554)</f>
        <v>0</v>
      </c>
      <c r="G147" s="143">
        <f t="shared" si="12"/>
        <v>0</v>
      </c>
    </row>
    <row r="148" spans="1:7" x14ac:dyDescent="0.25">
      <c r="A148" s="130" t="s">
        <v>173</v>
      </c>
      <c r="B148" s="176" t="s">
        <v>541</v>
      </c>
      <c r="C148" s="177"/>
      <c r="D148" s="178"/>
      <c r="E148" s="143">
        <f>SUMIF('algu apr.'!$C$8:$C$554,analīzei!A148,'algu apr.'!$F$8:$F$554)</f>
        <v>0</v>
      </c>
      <c r="F148" s="143">
        <f>SUMIF('algu apr.'!$C$8:$C$554,analīzei!A148,'algu apr.'!$G$8:$G$554)</f>
        <v>0</v>
      </c>
      <c r="G148" s="143">
        <f t="shared" si="12"/>
        <v>0</v>
      </c>
    </row>
    <row r="149" spans="1:7" x14ac:dyDescent="0.25">
      <c r="A149" s="131" t="s">
        <v>542</v>
      </c>
      <c r="B149" s="173" t="s">
        <v>172</v>
      </c>
      <c r="C149" s="174"/>
      <c r="D149" s="175"/>
      <c r="E149" s="143">
        <f>SUMIF('algu apr.'!$C$8:$C$554,analīzei!A149,'algu apr.'!$F$8:$F$554)</f>
        <v>0</v>
      </c>
      <c r="F149" s="143">
        <f>SUMIF('algu apr.'!$C$8:$C$554,analīzei!A149,'algu apr.'!$G$8:$G$554)</f>
        <v>0</v>
      </c>
      <c r="G149" s="143">
        <f t="shared" si="12"/>
        <v>0</v>
      </c>
    </row>
    <row r="150" spans="1:7" x14ac:dyDescent="0.25">
      <c r="A150" s="131" t="s">
        <v>543</v>
      </c>
      <c r="B150" s="173" t="s">
        <v>544</v>
      </c>
      <c r="C150" s="174"/>
      <c r="D150" s="175"/>
      <c r="E150" s="143">
        <f>SUMIF('algu apr.'!$C$8:$C$554,analīzei!A150,'algu apr.'!$F$8:$F$554)</f>
        <v>0</v>
      </c>
      <c r="F150" s="143">
        <f>SUMIF('algu apr.'!$C$8:$C$554,analīzei!A150,'algu apr.'!$G$8:$G$554)</f>
        <v>0</v>
      </c>
      <c r="G150" s="143">
        <f t="shared" si="12"/>
        <v>0</v>
      </c>
    </row>
    <row r="151" spans="1:7" x14ac:dyDescent="0.25">
      <c r="A151" s="130" t="s">
        <v>165</v>
      </c>
      <c r="B151" s="176" t="s">
        <v>545</v>
      </c>
      <c r="C151" s="177"/>
      <c r="D151" s="178"/>
      <c r="E151" s="143">
        <f>SUMIF('algu apr.'!$C$8:$C$554,analīzei!A151,'algu apr.'!$F$8:$F$554)</f>
        <v>0</v>
      </c>
      <c r="F151" s="143">
        <f>SUMIF('algu apr.'!$C$8:$C$554,analīzei!A151,'algu apr.'!$G$8:$G$554)</f>
        <v>0</v>
      </c>
      <c r="G151" s="143">
        <f t="shared" si="12"/>
        <v>0</v>
      </c>
    </row>
    <row r="152" spans="1:7" x14ac:dyDescent="0.25">
      <c r="A152" s="130" t="s">
        <v>220</v>
      </c>
      <c r="B152" s="176" t="s">
        <v>546</v>
      </c>
      <c r="C152" s="177"/>
      <c r="D152" s="178"/>
      <c r="E152" s="143">
        <f>SUMIF('algu apr.'!$C$8:$C$554,analīzei!A152,'algu apr.'!$F$8:$F$554)</f>
        <v>0</v>
      </c>
      <c r="F152" s="143">
        <f>SUMIF('algu apr.'!$C$8:$C$554,analīzei!A152,'algu apr.'!$G$8:$G$554)</f>
        <v>0</v>
      </c>
      <c r="G152" s="143">
        <f t="shared" si="12"/>
        <v>0</v>
      </c>
    </row>
    <row r="153" spans="1:7" x14ac:dyDescent="0.25">
      <c r="A153" s="130" t="s">
        <v>60</v>
      </c>
      <c r="B153" s="176" t="s">
        <v>547</v>
      </c>
      <c r="C153" s="177"/>
      <c r="D153" s="178"/>
      <c r="E153" s="143">
        <f>SUMIF('algu apr.'!$C$8:$C$554,analīzei!A153,'algu apr.'!$F$8:$F$554)</f>
        <v>46013</v>
      </c>
      <c r="F153" s="143">
        <f>SUMIF('algu apr.'!$C$8:$C$554,analīzei!A153,'algu apr.'!$G$8:$G$554)</f>
        <v>47929</v>
      </c>
      <c r="G153" s="143">
        <f t="shared" si="12"/>
        <v>93942</v>
      </c>
    </row>
    <row r="154" spans="1:7" x14ac:dyDescent="0.25">
      <c r="A154" s="131" t="s">
        <v>548</v>
      </c>
      <c r="B154" s="173" t="s">
        <v>549</v>
      </c>
      <c r="C154" s="174"/>
      <c r="D154" s="175"/>
      <c r="E154" s="143">
        <f>SUMIF('algu apr.'!$C$8:$C$554,analīzei!A154,'algu apr.'!$F$8:$F$554)</f>
        <v>0</v>
      </c>
      <c r="F154" s="143">
        <f>SUMIF('algu apr.'!$C$8:$C$554,analīzei!A154,'algu apr.'!$G$8:$G$554)</f>
        <v>0</v>
      </c>
      <c r="G154" s="143">
        <f t="shared" si="12"/>
        <v>0</v>
      </c>
    </row>
    <row r="155" spans="1:7" x14ac:dyDescent="0.25">
      <c r="A155" s="130" t="s">
        <v>67</v>
      </c>
      <c r="B155" s="176" t="s">
        <v>550</v>
      </c>
      <c r="C155" s="177"/>
      <c r="D155" s="178"/>
      <c r="E155" s="143">
        <f>SUMIF('algu apr.'!$C$8:$C$554,analīzei!A155,'algu apr.'!$F$8:$F$554)</f>
        <v>2796</v>
      </c>
      <c r="F155" s="143">
        <f>SUMIF('algu apr.'!$C$8:$C$554,analīzei!A155,'algu apr.'!$G$8:$G$554)</f>
        <v>2914</v>
      </c>
      <c r="G155" s="143">
        <f t="shared" si="12"/>
        <v>5710</v>
      </c>
    </row>
    <row r="156" spans="1:7" x14ac:dyDescent="0.25">
      <c r="A156" s="131" t="s">
        <v>551</v>
      </c>
      <c r="B156" s="173" t="s">
        <v>552</v>
      </c>
      <c r="C156" s="174"/>
      <c r="D156" s="175"/>
      <c r="E156" s="143">
        <f>SUMIF('algu apr.'!$C$8:$C$554,analīzei!A156,'algu apr.'!$F$8:$F$554)</f>
        <v>0</v>
      </c>
      <c r="F156" s="143">
        <f>SUMIF('algu apr.'!$C$8:$C$554,analīzei!A156,'algu apr.'!$G$8:$G$554)</f>
        <v>0</v>
      </c>
      <c r="G156" s="143">
        <f t="shared" si="12"/>
        <v>0</v>
      </c>
    </row>
    <row r="157" spans="1:7" x14ac:dyDescent="0.25">
      <c r="A157" s="130" t="s">
        <v>70</v>
      </c>
      <c r="B157" s="176" t="s">
        <v>553</v>
      </c>
      <c r="C157" s="177"/>
      <c r="D157" s="178"/>
      <c r="E157" s="143">
        <f>SUMIF('algu apr.'!$C$8:$C$554,analīzei!A157,'algu apr.'!$F$8:$F$554)</f>
        <v>2883</v>
      </c>
      <c r="F157" s="143">
        <f>SUMIF('algu apr.'!$C$8:$C$554,analīzei!A157,'algu apr.'!$G$8:$G$554)</f>
        <v>2998</v>
      </c>
      <c r="G157" s="143">
        <f t="shared" si="12"/>
        <v>5881</v>
      </c>
    </row>
    <row r="158" spans="1:7" x14ac:dyDescent="0.25">
      <c r="A158" s="130" t="s">
        <v>73</v>
      </c>
      <c r="B158" s="176" t="s">
        <v>554</v>
      </c>
      <c r="C158" s="177"/>
      <c r="D158" s="178"/>
      <c r="E158" s="143">
        <f>SUMIF('algu apr.'!$C$8:$C$554,analīzei!A158,'algu apr.'!$F$8:$F$554)</f>
        <v>21583</v>
      </c>
      <c r="F158" s="143">
        <f>SUMIF('algu apr.'!$C$8:$C$554,analīzei!A158,'algu apr.'!$G$8:$G$554)</f>
        <v>22480</v>
      </c>
      <c r="G158" s="143">
        <f t="shared" si="12"/>
        <v>44063</v>
      </c>
    </row>
    <row r="159" spans="1:7" x14ac:dyDescent="0.25">
      <c r="A159" s="130" t="s">
        <v>311</v>
      </c>
      <c r="B159" s="176" t="s">
        <v>555</v>
      </c>
      <c r="C159" s="177"/>
      <c r="D159" s="178"/>
      <c r="E159" s="143">
        <f>SUMIF('algu apr.'!$C$8:$C$554,analīzei!A159,'algu apr.'!$F$8:$F$554)</f>
        <v>0</v>
      </c>
      <c r="F159" s="143">
        <f>SUMIF('algu apr.'!$C$8:$C$554,analīzei!A159,'algu apr.'!$G$8:$G$554)</f>
        <v>0</v>
      </c>
      <c r="G159" s="143">
        <f t="shared" si="12"/>
        <v>0</v>
      </c>
    </row>
    <row r="160" spans="1:7" x14ac:dyDescent="0.25">
      <c r="A160" s="130" t="s">
        <v>156</v>
      </c>
      <c r="B160" s="176" t="s">
        <v>556</v>
      </c>
      <c r="C160" s="177"/>
      <c r="D160" s="178"/>
      <c r="E160" s="143">
        <f>SUMIF('algu apr.'!$C$8:$C$554,analīzei!A160,'algu apr.'!$F$8:$F$554)</f>
        <v>0</v>
      </c>
      <c r="F160" s="143">
        <f>SUMIF('algu apr.'!$C$8:$C$554,analīzei!A160,'algu apr.'!$G$8:$G$554)</f>
        <v>0</v>
      </c>
      <c r="G160" s="143">
        <f t="shared" si="12"/>
        <v>0</v>
      </c>
    </row>
    <row r="161" spans="1:7" x14ac:dyDescent="0.25">
      <c r="A161" s="131" t="s">
        <v>557</v>
      </c>
      <c r="B161" s="173" t="s">
        <v>558</v>
      </c>
      <c r="C161" s="174"/>
      <c r="D161" s="175"/>
      <c r="E161" s="143">
        <f>SUMIF('algu apr.'!$C$8:$C$554,analīzei!A161,'algu apr.'!$F$8:$F$554)</f>
        <v>0</v>
      </c>
      <c r="F161" s="143">
        <f>SUMIF('algu apr.'!$C$8:$C$554,analīzei!A161,'algu apr.'!$G$8:$G$554)</f>
        <v>0</v>
      </c>
      <c r="G161" s="143">
        <f t="shared" si="12"/>
        <v>0</v>
      </c>
    </row>
    <row r="162" spans="1:7" x14ac:dyDescent="0.25">
      <c r="A162" s="130" t="s">
        <v>82</v>
      </c>
      <c r="B162" s="176" t="s">
        <v>559</v>
      </c>
      <c r="C162" s="177"/>
      <c r="D162" s="178"/>
      <c r="E162" s="143">
        <f>SUMIF('algu apr.'!$C$8:$C$554,analīzei!A162,'algu apr.'!$F$8:$F$554)</f>
        <v>41909</v>
      </c>
      <c r="F162" s="143">
        <f>SUMIF('algu apr.'!$C$8:$C$554,analīzei!A162,'algu apr.'!$G$8:$G$554)</f>
        <v>18787</v>
      </c>
      <c r="G162" s="143">
        <f t="shared" si="12"/>
        <v>60696</v>
      </c>
    </row>
    <row r="163" spans="1:7" x14ac:dyDescent="0.25">
      <c r="A163" s="130" t="s">
        <v>86</v>
      </c>
      <c r="B163" s="176" t="s">
        <v>560</v>
      </c>
      <c r="C163" s="177"/>
      <c r="D163" s="178"/>
      <c r="E163" s="143">
        <f>SUMIF('algu apr.'!$C$8:$C$554,analīzei!A163,'algu apr.'!$F$8:$F$554)</f>
        <v>18431</v>
      </c>
      <c r="F163" s="143">
        <f>SUMIF('algu apr.'!$C$8:$C$554,analīzei!A163,'algu apr.'!$G$8:$G$554)</f>
        <v>14169</v>
      </c>
      <c r="G163" s="143">
        <f t="shared" si="12"/>
        <v>32600</v>
      </c>
    </row>
    <row r="164" spans="1:7" x14ac:dyDescent="0.25">
      <c r="A164" s="130" t="s">
        <v>93</v>
      </c>
      <c r="B164" s="176" t="s">
        <v>561</v>
      </c>
      <c r="C164" s="177"/>
      <c r="D164" s="178"/>
      <c r="E164" s="143">
        <f>SUMIF('algu apr.'!$C$8:$C$554,analīzei!A164,'algu apr.'!$F$8:$F$554)</f>
        <v>10293</v>
      </c>
      <c r="F164" s="143">
        <f>SUMIF('algu apr.'!$C$8:$C$554,analīzei!A164,'algu apr.'!$G$8:$G$554)</f>
        <v>4547</v>
      </c>
      <c r="G164" s="143">
        <f t="shared" si="12"/>
        <v>14840</v>
      </c>
    </row>
    <row r="165" spans="1:7" x14ac:dyDescent="0.25">
      <c r="A165" s="130" t="s">
        <v>96</v>
      </c>
      <c r="B165" s="176" t="s">
        <v>562</v>
      </c>
      <c r="C165" s="177"/>
      <c r="D165" s="178"/>
      <c r="E165" s="143">
        <f>SUMIF('algu apr.'!$C$8:$C$554,analīzei!A165,'algu apr.'!$F$8:$F$554)</f>
        <v>5053</v>
      </c>
      <c r="F165" s="143">
        <f>SUMIF('algu apr.'!$C$8:$C$554,analīzei!A165,'algu apr.'!$G$8:$G$554)</f>
        <v>5264</v>
      </c>
      <c r="G165" s="143">
        <f t="shared" si="12"/>
        <v>10317</v>
      </c>
    </row>
    <row r="166" spans="1:7" x14ac:dyDescent="0.25">
      <c r="A166" s="130" t="s">
        <v>79</v>
      </c>
      <c r="B166" s="176" t="s">
        <v>563</v>
      </c>
      <c r="C166" s="177"/>
      <c r="D166" s="178"/>
      <c r="E166" s="143">
        <f>SUMIF('algu apr.'!$C$8:$C$554,analīzei!A166,'algu apr.'!$F$8:$F$554)</f>
        <v>1851</v>
      </c>
      <c r="F166" s="143">
        <f>SUMIF('algu apr.'!$C$8:$C$554,analīzei!A166,'algu apr.'!$G$8:$G$554)</f>
        <v>1929</v>
      </c>
      <c r="G166" s="143">
        <f t="shared" si="12"/>
        <v>3780</v>
      </c>
    </row>
    <row r="167" spans="1:7" x14ac:dyDescent="0.25">
      <c r="A167" s="131" t="s">
        <v>564</v>
      </c>
      <c r="B167" s="173" t="s">
        <v>565</v>
      </c>
      <c r="C167" s="174"/>
      <c r="D167" s="175"/>
      <c r="E167" s="143">
        <f>SUMIF('algu apr.'!$C$8:$C$554,analīzei!A167,'algu apr.'!$F$8:$F$554)</f>
        <v>0</v>
      </c>
      <c r="F167" s="143">
        <f>SUMIF('algu apr.'!$C$8:$C$554,analīzei!A167,'algu apr.'!$G$8:$G$554)</f>
        <v>0</v>
      </c>
      <c r="G167" s="143">
        <f t="shared" si="12"/>
        <v>0</v>
      </c>
    </row>
    <row r="168" spans="1:7" x14ac:dyDescent="0.25">
      <c r="A168" s="130" t="s">
        <v>119</v>
      </c>
      <c r="B168" s="176" t="s">
        <v>566</v>
      </c>
      <c r="C168" s="177"/>
      <c r="D168" s="178"/>
      <c r="E168" s="143">
        <f>SUMIF('algu apr.'!$C$8:$C$554,analīzei!A168,'algu apr.'!$F$8:$F$554)</f>
        <v>15451</v>
      </c>
      <c r="F168" s="143">
        <f>SUMIF('algu apr.'!$C$8:$C$554,analīzei!A168,'algu apr.'!$G$8:$G$554)</f>
        <v>16094</v>
      </c>
      <c r="G168" s="143">
        <f t="shared" si="12"/>
        <v>31545</v>
      </c>
    </row>
    <row r="169" spans="1:7" x14ac:dyDescent="0.25">
      <c r="A169" s="130" t="s">
        <v>99</v>
      </c>
      <c r="B169" s="176" t="s">
        <v>567</v>
      </c>
      <c r="C169" s="177"/>
      <c r="D169" s="178"/>
      <c r="E169" s="143">
        <f>SUMIF('algu apr.'!$C$8:$C$554,analīzei!A169,'algu apr.'!$F$8:$F$554)</f>
        <v>3552</v>
      </c>
      <c r="F169" s="143">
        <f>SUMIF('algu apr.'!$C$8:$C$554,analīzei!A169,'algu apr.'!$G$8:$G$554)</f>
        <v>3700</v>
      </c>
      <c r="G169" s="143">
        <f t="shared" si="12"/>
        <v>7252</v>
      </c>
    </row>
    <row r="170" spans="1:7" x14ac:dyDescent="0.25">
      <c r="A170" s="130" t="s">
        <v>101</v>
      </c>
      <c r="B170" s="176" t="s">
        <v>568</v>
      </c>
      <c r="C170" s="177"/>
      <c r="D170" s="178"/>
      <c r="E170" s="143">
        <f>SUMIF('algu apr.'!$C$8:$C$554,analīzei!A170,'algu apr.'!$F$8:$F$554)</f>
        <v>2270</v>
      </c>
      <c r="F170" s="143">
        <f>SUMIF('algu apr.'!$C$8:$C$554,analīzei!A170,'algu apr.'!$G$8:$G$554)</f>
        <v>2365</v>
      </c>
      <c r="G170" s="143">
        <f t="shared" si="12"/>
        <v>4635</v>
      </c>
    </row>
    <row r="171" spans="1:7" x14ac:dyDescent="0.25">
      <c r="A171" s="130" t="s">
        <v>104</v>
      </c>
      <c r="B171" s="176" t="s">
        <v>569</v>
      </c>
      <c r="C171" s="177"/>
      <c r="D171" s="178"/>
      <c r="E171" s="143">
        <f>SUMIF('algu apr.'!$C$8:$C$554,analīzei!A171,'algu apr.'!$F$8:$F$554)</f>
        <v>6678</v>
      </c>
      <c r="F171" s="143">
        <f>SUMIF('algu apr.'!$C$8:$C$554,analīzei!A171,'algu apr.'!$G$8:$G$554)</f>
        <v>6956</v>
      </c>
      <c r="G171" s="143">
        <f t="shared" si="12"/>
        <v>13634</v>
      </c>
    </row>
    <row r="172" spans="1:7" x14ac:dyDescent="0.25">
      <c r="E172">
        <f>SUM(E132:E171)</f>
        <v>215177</v>
      </c>
      <c r="F172">
        <f>SUM(F132:F171)</f>
        <v>188060</v>
      </c>
      <c r="G172">
        <f>SUM(G132:G171)</f>
        <v>403237</v>
      </c>
    </row>
    <row r="207" spans="1:3" x14ac:dyDescent="0.25">
      <c r="B207" s="148"/>
    </row>
    <row r="208" spans="1:3" x14ac:dyDescent="0.25">
      <c r="A208" s="88"/>
      <c r="B208" s="148"/>
      <c r="C208" s="88"/>
    </row>
    <row r="209" spans="1:3" x14ac:dyDescent="0.25">
      <c r="A209" s="88"/>
      <c r="B209" s="148"/>
      <c r="C209" s="88"/>
    </row>
    <row r="210" spans="1:3" x14ac:dyDescent="0.25">
      <c r="A210" s="88"/>
      <c r="B210" s="148"/>
      <c r="C210" s="88"/>
    </row>
    <row r="211" spans="1:3" x14ac:dyDescent="0.25">
      <c r="A211" s="88"/>
      <c r="B211" s="148"/>
      <c r="C211" s="88"/>
    </row>
    <row r="212" spans="1:3" x14ac:dyDescent="0.25">
      <c r="A212" s="88"/>
      <c r="B212" s="148"/>
      <c r="C212" s="88"/>
    </row>
    <row r="213" spans="1:3" x14ac:dyDescent="0.25">
      <c r="A213" s="120"/>
      <c r="B213" s="148"/>
      <c r="C213" s="88"/>
    </row>
    <row r="214" spans="1:3" x14ac:dyDescent="0.25">
      <c r="A214" s="88"/>
      <c r="B214" s="148"/>
      <c r="C214" s="88"/>
    </row>
  </sheetData>
  <mergeCells count="41">
    <mergeCell ref="B142:D142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54:D154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66:D166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7:D167"/>
    <mergeCell ref="B168:D168"/>
    <mergeCell ref="B169:D169"/>
    <mergeCell ref="B170:D170"/>
    <mergeCell ref="B171:D171"/>
  </mergeCells>
  <phoneticPr fontId="24" type="noConversion"/>
  <conditionalFormatting sqref="L4:L19">
    <cfRule type="cellIs" dxfId="1" priority="2" operator="greaterThan">
      <formula>0</formula>
    </cfRule>
  </conditionalFormatting>
  <conditionalFormatting sqref="E4:E19">
    <cfRule type="cellIs" dxfId="0" priority="1" operator="greaterThan">
      <formula>0</formula>
    </cfRule>
  </conditionalFormatting>
  <pageMargins left="0.7" right="0.7" top="0.75" bottom="0.75" header="0.3" footer="0.3"/>
  <pageSetup paperSize="9" scale="2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N558"/>
  <sheetViews>
    <sheetView zoomScale="70" zoomScaleNormal="70" zoomScalePageLayoutView="25" workbookViewId="0">
      <pane xSplit="3" ySplit="7" topLeftCell="D8" activePane="bottomRight" state="frozen"/>
      <selection pane="topRight" activeCell="AQ34" sqref="AQ34"/>
      <selection pane="bottomLeft" activeCell="AQ34" sqref="AQ34"/>
      <selection pane="bottomRight" activeCell="B19" sqref="B19"/>
    </sheetView>
  </sheetViews>
  <sheetFormatPr defaultRowHeight="15" x14ac:dyDescent="0.25"/>
  <cols>
    <col min="1" max="1" width="15.42578125" style="1" bestFit="1" customWidth="1"/>
    <col min="2" max="2" width="26.5703125" style="1" customWidth="1"/>
    <col min="3" max="3" width="12.140625" style="1" bestFit="1" customWidth="1"/>
    <col min="4" max="4" width="12.42578125" customWidth="1"/>
    <col min="5" max="6" width="9.140625" style="1"/>
    <col min="7" max="7" width="9.140625" style="1" customWidth="1"/>
    <col min="8" max="199" width="9.140625" style="1"/>
    <col min="200" max="200" width="10.140625" style="1" customWidth="1"/>
    <col min="201" max="201" width="17.28515625" style="1" customWidth="1"/>
    <col min="202" max="202" width="9.42578125" style="1" customWidth="1"/>
    <col min="203" max="204" width="9" style="1" customWidth="1"/>
    <col min="205" max="206" width="7" style="1" customWidth="1"/>
    <col min="207" max="208" width="8.28515625" style="1" customWidth="1"/>
    <col min="209" max="218" width="7" style="1" customWidth="1"/>
    <col min="219" max="220" width="6.85546875" style="1" customWidth="1"/>
    <col min="221" max="222" width="6" style="1" customWidth="1"/>
    <col min="223" max="224" width="9.140625" style="1" customWidth="1"/>
    <col min="225" max="226" width="6" style="1" customWidth="1"/>
    <col min="227" max="228" width="8.140625" style="1" customWidth="1"/>
    <col min="229" max="230" width="7" style="1" customWidth="1"/>
    <col min="231" max="232" width="6.7109375" style="1" customWidth="1"/>
    <col min="233" max="234" width="8.85546875" style="1" customWidth="1"/>
    <col min="235" max="236" width="7.5703125" style="1" customWidth="1"/>
    <col min="237" max="238" width="7.7109375" style="1" customWidth="1"/>
    <col min="239" max="455" width="9.140625" style="1"/>
    <col min="456" max="456" width="10.140625" style="1" customWidth="1"/>
    <col min="457" max="457" width="17.28515625" style="1" customWidth="1"/>
    <col min="458" max="458" width="9.42578125" style="1" customWidth="1"/>
    <col min="459" max="460" width="9" style="1" customWidth="1"/>
    <col min="461" max="462" width="7" style="1" customWidth="1"/>
    <col min="463" max="464" width="8.28515625" style="1" customWidth="1"/>
    <col min="465" max="474" width="7" style="1" customWidth="1"/>
    <col min="475" max="476" width="6.85546875" style="1" customWidth="1"/>
    <col min="477" max="478" width="6" style="1" customWidth="1"/>
    <col min="479" max="480" width="9.140625" style="1" customWidth="1"/>
    <col min="481" max="482" width="6" style="1" customWidth="1"/>
    <col min="483" max="484" width="8.140625" style="1" customWidth="1"/>
    <col min="485" max="486" width="7" style="1" customWidth="1"/>
    <col min="487" max="488" width="6.7109375" style="1" customWidth="1"/>
    <col min="489" max="490" width="8.85546875" style="1" customWidth="1"/>
    <col min="491" max="492" width="7.5703125" style="1" customWidth="1"/>
    <col min="493" max="494" width="7.7109375" style="1" customWidth="1"/>
    <col min="495" max="711" width="9.140625" style="1"/>
    <col min="712" max="712" width="10.140625" style="1" customWidth="1"/>
    <col min="713" max="713" width="17.28515625" style="1" customWidth="1"/>
    <col min="714" max="714" width="9.42578125" style="1" customWidth="1"/>
    <col min="715" max="716" width="9" style="1" customWidth="1"/>
    <col min="717" max="718" width="7" style="1" customWidth="1"/>
    <col min="719" max="720" width="8.28515625" style="1" customWidth="1"/>
    <col min="721" max="730" width="7" style="1" customWidth="1"/>
    <col min="731" max="732" width="6.85546875" style="1" customWidth="1"/>
    <col min="733" max="734" width="6" style="1" customWidth="1"/>
    <col min="735" max="736" width="9.140625" style="1" customWidth="1"/>
    <col min="737" max="738" width="6" style="1" customWidth="1"/>
    <col min="739" max="740" width="8.140625" style="1" customWidth="1"/>
    <col min="741" max="742" width="7" style="1" customWidth="1"/>
    <col min="743" max="744" width="6.7109375" style="1" customWidth="1"/>
    <col min="745" max="746" width="8.85546875" style="1" customWidth="1"/>
    <col min="747" max="748" width="7.5703125" style="1" customWidth="1"/>
    <col min="749" max="750" width="7.7109375" style="1" customWidth="1"/>
    <col min="751" max="967" width="9.140625" style="1"/>
    <col min="968" max="968" width="10.140625" style="1" customWidth="1"/>
    <col min="969" max="969" width="17.28515625" style="1" customWidth="1"/>
    <col min="970" max="970" width="9.42578125" style="1" customWidth="1"/>
    <col min="971" max="972" width="9" style="1" customWidth="1"/>
    <col min="973" max="974" width="7" style="1" customWidth="1"/>
    <col min="975" max="976" width="8.28515625" style="1" customWidth="1"/>
    <col min="977" max="986" width="7" style="1" customWidth="1"/>
    <col min="987" max="988" width="6.85546875" style="1" customWidth="1"/>
    <col min="989" max="990" width="6" style="1" customWidth="1"/>
    <col min="991" max="992" width="9.140625" style="1" customWidth="1"/>
    <col min="993" max="994" width="6" style="1" customWidth="1"/>
    <col min="995" max="996" width="8.140625" style="1" customWidth="1"/>
    <col min="997" max="998" width="7" style="1" customWidth="1"/>
    <col min="999" max="1000" width="6.7109375" style="1" customWidth="1"/>
    <col min="1001" max="1002" width="8.85546875" style="1" customWidth="1"/>
    <col min="1003" max="1004" width="7.5703125" style="1" customWidth="1"/>
    <col min="1005" max="1006" width="7.7109375" style="1" customWidth="1"/>
    <col min="1007" max="1223" width="9.140625" style="1"/>
    <col min="1224" max="1224" width="10.140625" style="1" customWidth="1"/>
    <col min="1225" max="1225" width="17.28515625" style="1" customWidth="1"/>
    <col min="1226" max="1226" width="9.42578125" style="1" customWidth="1"/>
    <col min="1227" max="1228" width="9" style="1" customWidth="1"/>
    <col min="1229" max="1230" width="7" style="1" customWidth="1"/>
    <col min="1231" max="1232" width="8.28515625" style="1" customWidth="1"/>
    <col min="1233" max="1242" width="7" style="1" customWidth="1"/>
    <col min="1243" max="1244" width="6.85546875" style="1" customWidth="1"/>
    <col min="1245" max="1246" width="6" style="1" customWidth="1"/>
    <col min="1247" max="1248" width="9.140625" style="1" customWidth="1"/>
    <col min="1249" max="1250" width="6" style="1" customWidth="1"/>
    <col min="1251" max="1252" width="8.140625" style="1" customWidth="1"/>
    <col min="1253" max="1254" width="7" style="1" customWidth="1"/>
    <col min="1255" max="1256" width="6.7109375" style="1" customWidth="1"/>
    <col min="1257" max="1258" width="8.85546875" style="1" customWidth="1"/>
    <col min="1259" max="1260" width="7.5703125" style="1" customWidth="1"/>
    <col min="1261" max="1262" width="7.7109375" style="1" customWidth="1"/>
    <col min="1263" max="1479" width="9.140625" style="1"/>
    <col min="1480" max="1480" width="10.140625" style="1" customWidth="1"/>
    <col min="1481" max="1481" width="17.28515625" style="1" customWidth="1"/>
    <col min="1482" max="1482" width="9.42578125" style="1" customWidth="1"/>
    <col min="1483" max="1484" width="9" style="1" customWidth="1"/>
    <col min="1485" max="1486" width="7" style="1" customWidth="1"/>
    <col min="1487" max="1488" width="8.28515625" style="1" customWidth="1"/>
    <col min="1489" max="1498" width="7" style="1" customWidth="1"/>
    <col min="1499" max="1500" width="6.85546875" style="1" customWidth="1"/>
    <col min="1501" max="1502" width="6" style="1" customWidth="1"/>
    <col min="1503" max="1504" width="9.140625" style="1" customWidth="1"/>
    <col min="1505" max="1506" width="6" style="1" customWidth="1"/>
    <col min="1507" max="1508" width="8.140625" style="1" customWidth="1"/>
    <col min="1509" max="1510" width="7" style="1" customWidth="1"/>
    <col min="1511" max="1512" width="6.7109375" style="1" customWidth="1"/>
    <col min="1513" max="1514" width="8.85546875" style="1" customWidth="1"/>
    <col min="1515" max="1516" width="7.5703125" style="1" customWidth="1"/>
    <col min="1517" max="1518" width="7.7109375" style="1" customWidth="1"/>
    <col min="1519" max="1735" width="9.140625" style="1"/>
    <col min="1736" max="1736" width="10.140625" style="1" customWidth="1"/>
    <col min="1737" max="1737" width="17.28515625" style="1" customWidth="1"/>
    <col min="1738" max="1738" width="9.42578125" style="1" customWidth="1"/>
    <col min="1739" max="1740" width="9" style="1" customWidth="1"/>
    <col min="1741" max="1742" width="7" style="1" customWidth="1"/>
    <col min="1743" max="1744" width="8.28515625" style="1" customWidth="1"/>
    <col min="1745" max="1754" width="7" style="1" customWidth="1"/>
    <col min="1755" max="1756" width="6.85546875" style="1" customWidth="1"/>
    <col min="1757" max="1758" width="6" style="1" customWidth="1"/>
    <col min="1759" max="1760" width="9.140625" style="1" customWidth="1"/>
    <col min="1761" max="1762" width="6" style="1" customWidth="1"/>
    <col min="1763" max="1764" width="8.140625" style="1" customWidth="1"/>
    <col min="1765" max="1766" width="7" style="1" customWidth="1"/>
    <col min="1767" max="1768" width="6.7109375" style="1" customWidth="1"/>
    <col min="1769" max="1770" width="8.85546875" style="1" customWidth="1"/>
    <col min="1771" max="1772" width="7.5703125" style="1" customWidth="1"/>
    <col min="1773" max="1774" width="7.7109375" style="1" customWidth="1"/>
    <col min="1775" max="1991" width="9.140625" style="1"/>
    <col min="1992" max="1992" width="10.140625" style="1" customWidth="1"/>
    <col min="1993" max="1993" width="17.28515625" style="1" customWidth="1"/>
    <col min="1994" max="1994" width="9.42578125" style="1" customWidth="1"/>
    <col min="1995" max="1996" width="9" style="1" customWidth="1"/>
    <col min="1997" max="1998" width="7" style="1" customWidth="1"/>
    <col min="1999" max="2000" width="8.28515625" style="1" customWidth="1"/>
    <col min="2001" max="2010" width="7" style="1" customWidth="1"/>
    <col min="2011" max="2012" width="6.85546875" style="1" customWidth="1"/>
    <col min="2013" max="2014" width="6" style="1" customWidth="1"/>
    <col min="2015" max="2016" width="9.140625" style="1" customWidth="1"/>
    <col min="2017" max="2018" width="6" style="1" customWidth="1"/>
    <col min="2019" max="2020" width="8.140625" style="1" customWidth="1"/>
    <col min="2021" max="2022" width="7" style="1" customWidth="1"/>
    <col min="2023" max="2024" width="6.7109375" style="1" customWidth="1"/>
    <col min="2025" max="2026" width="8.85546875" style="1" customWidth="1"/>
    <col min="2027" max="2028" width="7.5703125" style="1" customWidth="1"/>
    <col min="2029" max="2030" width="7.7109375" style="1" customWidth="1"/>
    <col min="2031" max="2247" width="9.140625" style="1"/>
    <col min="2248" max="2248" width="10.140625" style="1" customWidth="1"/>
    <col min="2249" max="2249" width="17.28515625" style="1" customWidth="1"/>
    <col min="2250" max="2250" width="9.42578125" style="1" customWidth="1"/>
    <col min="2251" max="2252" width="9" style="1" customWidth="1"/>
    <col min="2253" max="2254" width="7" style="1" customWidth="1"/>
    <col min="2255" max="2256" width="8.28515625" style="1" customWidth="1"/>
    <col min="2257" max="2266" width="7" style="1" customWidth="1"/>
    <col min="2267" max="2268" width="6.85546875" style="1" customWidth="1"/>
    <col min="2269" max="2270" width="6" style="1" customWidth="1"/>
    <col min="2271" max="2272" width="9.140625" style="1" customWidth="1"/>
    <col min="2273" max="2274" width="6" style="1" customWidth="1"/>
    <col min="2275" max="2276" width="8.140625" style="1" customWidth="1"/>
    <col min="2277" max="2278" width="7" style="1" customWidth="1"/>
    <col min="2279" max="2280" width="6.7109375" style="1" customWidth="1"/>
    <col min="2281" max="2282" width="8.85546875" style="1" customWidth="1"/>
    <col min="2283" max="2284" width="7.5703125" style="1" customWidth="1"/>
    <col min="2285" max="2286" width="7.7109375" style="1" customWidth="1"/>
    <col min="2287" max="2503" width="9.140625" style="1"/>
    <col min="2504" max="2504" width="10.140625" style="1" customWidth="1"/>
    <col min="2505" max="2505" width="17.28515625" style="1" customWidth="1"/>
    <col min="2506" max="2506" width="9.42578125" style="1" customWidth="1"/>
    <col min="2507" max="2508" width="9" style="1" customWidth="1"/>
    <col min="2509" max="2510" width="7" style="1" customWidth="1"/>
    <col min="2511" max="2512" width="8.28515625" style="1" customWidth="1"/>
    <col min="2513" max="2522" width="7" style="1" customWidth="1"/>
    <col min="2523" max="2524" width="6.85546875" style="1" customWidth="1"/>
    <col min="2525" max="2526" width="6" style="1" customWidth="1"/>
    <col min="2527" max="2528" width="9.140625" style="1" customWidth="1"/>
    <col min="2529" max="2530" width="6" style="1" customWidth="1"/>
    <col min="2531" max="2532" width="8.140625" style="1" customWidth="1"/>
    <col min="2533" max="2534" width="7" style="1" customWidth="1"/>
    <col min="2535" max="2536" width="6.7109375" style="1" customWidth="1"/>
    <col min="2537" max="2538" width="8.85546875" style="1" customWidth="1"/>
    <col min="2539" max="2540" width="7.5703125" style="1" customWidth="1"/>
    <col min="2541" max="2542" width="7.7109375" style="1" customWidth="1"/>
    <col min="2543" max="2759" width="9.140625" style="1"/>
    <col min="2760" max="2760" width="10.140625" style="1" customWidth="1"/>
    <col min="2761" max="2761" width="17.28515625" style="1" customWidth="1"/>
    <col min="2762" max="2762" width="9.42578125" style="1" customWidth="1"/>
    <col min="2763" max="2764" width="9" style="1" customWidth="1"/>
    <col min="2765" max="2766" width="7" style="1" customWidth="1"/>
    <col min="2767" max="2768" width="8.28515625" style="1" customWidth="1"/>
    <col min="2769" max="2778" width="7" style="1" customWidth="1"/>
    <col min="2779" max="2780" width="6.85546875" style="1" customWidth="1"/>
    <col min="2781" max="2782" width="6" style="1" customWidth="1"/>
    <col min="2783" max="2784" width="9.140625" style="1" customWidth="1"/>
    <col min="2785" max="2786" width="6" style="1" customWidth="1"/>
    <col min="2787" max="2788" width="8.140625" style="1" customWidth="1"/>
    <col min="2789" max="2790" width="7" style="1" customWidth="1"/>
    <col min="2791" max="2792" width="6.7109375" style="1" customWidth="1"/>
    <col min="2793" max="2794" width="8.85546875" style="1" customWidth="1"/>
    <col min="2795" max="2796" width="7.5703125" style="1" customWidth="1"/>
    <col min="2797" max="2798" width="7.7109375" style="1" customWidth="1"/>
    <col min="2799" max="3015" width="9.140625" style="1"/>
    <col min="3016" max="3016" width="10.140625" style="1" customWidth="1"/>
    <col min="3017" max="3017" width="17.28515625" style="1" customWidth="1"/>
    <col min="3018" max="3018" width="9.42578125" style="1" customWidth="1"/>
    <col min="3019" max="3020" width="9" style="1" customWidth="1"/>
    <col min="3021" max="3022" width="7" style="1" customWidth="1"/>
    <col min="3023" max="3024" width="8.28515625" style="1" customWidth="1"/>
    <col min="3025" max="3034" width="7" style="1" customWidth="1"/>
    <col min="3035" max="3036" width="6.85546875" style="1" customWidth="1"/>
    <col min="3037" max="3038" width="6" style="1" customWidth="1"/>
    <col min="3039" max="3040" width="9.140625" style="1" customWidth="1"/>
    <col min="3041" max="3042" width="6" style="1" customWidth="1"/>
    <col min="3043" max="3044" width="8.140625" style="1" customWidth="1"/>
    <col min="3045" max="3046" width="7" style="1" customWidth="1"/>
    <col min="3047" max="3048" width="6.7109375" style="1" customWidth="1"/>
    <col min="3049" max="3050" width="8.85546875" style="1" customWidth="1"/>
    <col min="3051" max="3052" width="7.5703125" style="1" customWidth="1"/>
    <col min="3053" max="3054" width="7.7109375" style="1" customWidth="1"/>
    <col min="3055" max="3271" width="9.140625" style="1"/>
    <col min="3272" max="3272" width="10.140625" style="1" customWidth="1"/>
    <col min="3273" max="3273" width="17.28515625" style="1" customWidth="1"/>
    <col min="3274" max="3274" width="9.42578125" style="1" customWidth="1"/>
    <col min="3275" max="3276" width="9" style="1" customWidth="1"/>
    <col min="3277" max="3278" width="7" style="1" customWidth="1"/>
    <col min="3279" max="3280" width="8.28515625" style="1" customWidth="1"/>
    <col min="3281" max="3290" width="7" style="1" customWidth="1"/>
    <col min="3291" max="3292" width="6.85546875" style="1" customWidth="1"/>
    <col min="3293" max="3294" width="6" style="1" customWidth="1"/>
    <col min="3295" max="3296" width="9.140625" style="1" customWidth="1"/>
    <col min="3297" max="3298" width="6" style="1" customWidth="1"/>
    <col min="3299" max="3300" width="8.140625" style="1" customWidth="1"/>
    <col min="3301" max="3302" width="7" style="1" customWidth="1"/>
    <col min="3303" max="3304" width="6.7109375" style="1" customWidth="1"/>
    <col min="3305" max="3306" width="8.85546875" style="1" customWidth="1"/>
    <col min="3307" max="3308" width="7.5703125" style="1" customWidth="1"/>
    <col min="3309" max="3310" width="7.7109375" style="1" customWidth="1"/>
    <col min="3311" max="3527" width="9.140625" style="1"/>
    <col min="3528" max="3528" width="10.140625" style="1" customWidth="1"/>
    <col min="3529" max="3529" width="17.28515625" style="1" customWidth="1"/>
    <col min="3530" max="3530" width="9.42578125" style="1" customWidth="1"/>
    <col min="3531" max="3532" width="9" style="1" customWidth="1"/>
    <col min="3533" max="3534" width="7" style="1" customWidth="1"/>
    <col min="3535" max="3536" width="8.28515625" style="1" customWidth="1"/>
    <col min="3537" max="3546" width="7" style="1" customWidth="1"/>
    <col min="3547" max="3548" width="6.85546875" style="1" customWidth="1"/>
    <col min="3549" max="3550" width="6" style="1" customWidth="1"/>
    <col min="3551" max="3552" width="9.140625" style="1" customWidth="1"/>
    <col min="3553" max="3554" width="6" style="1" customWidth="1"/>
    <col min="3555" max="3556" width="8.140625" style="1" customWidth="1"/>
    <col min="3557" max="3558" width="7" style="1" customWidth="1"/>
    <col min="3559" max="3560" width="6.7109375" style="1" customWidth="1"/>
    <col min="3561" max="3562" width="8.85546875" style="1" customWidth="1"/>
    <col min="3563" max="3564" width="7.5703125" style="1" customWidth="1"/>
    <col min="3565" max="3566" width="7.7109375" style="1" customWidth="1"/>
    <col min="3567" max="3783" width="9.140625" style="1"/>
    <col min="3784" max="3784" width="10.140625" style="1" customWidth="1"/>
    <col min="3785" max="3785" width="17.28515625" style="1" customWidth="1"/>
    <col min="3786" max="3786" width="9.42578125" style="1" customWidth="1"/>
    <col min="3787" max="3788" width="9" style="1" customWidth="1"/>
    <col min="3789" max="3790" width="7" style="1" customWidth="1"/>
    <col min="3791" max="3792" width="8.28515625" style="1" customWidth="1"/>
    <col min="3793" max="3802" width="7" style="1" customWidth="1"/>
    <col min="3803" max="3804" width="6.85546875" style="1" customWidth="1"/>
    <col min="3805" max="3806" width="6" style="1" customWidth="1"/>
    <col min="3807" max="3808" width="9.140625" style="1" customWidth="1"/>
    <col min="3809" max="3810" width="6" style="1" customWidth="1"/>
    <col min="3811" max="3812" width="8.140625" style="1" customWidth="1"/>
    <col min="3813" max="3814" width="7" style="1" customWidth="1"/>
    <col min="3815" max="3816" width="6.7109375" style="1" customWidth="1"/>
    <col min="3817" max="3818" width="8.85546875" style="1" customWidth="1"/>
    <col min="3819" max="3820" width="7.5703125" style="1" customWidth="1"/>
    <col min="3821" max="3822" width="7.7109375" style="1" customWidth="1"/>
    <col min="3823" max="4039" width="9.140625" style="1"/>
    <col min="4040" max="4040" width="10.140625" style="1" customWidth="1"/>
    <col min="4041" max="4041" width="17.28515625" style="1" customWidth="1"/>
    <col min="4042" max="4042" width="9.42578125" style="1" customWidth="1"/>
    <col min="4043" max="4044" width="9" style="1" customWidth="1"/>
    <col min="4045" max="4046" width="7" style="1" customWidth="1"/>
    <col min="4047" max="4048" width="8.28515625" style="1" customWidth="1"/>
    <col min="4049" max="4058" width="7" style="1" customWidth="1"/>
    <col min="4059" max="4060" width="6.85546875" style="1" customWidth="1"/>
    <col min="4061" max="4062" width="6" style="1" customWidth="1"/>
    <col min="4063" max="4064" width="9.140625" style="1" customWidth="1"/>
    <col min="4065" max="4066" width="6" style="1" customWidth="1"/>
    <col min="4067" max="4068" width="8.140625" style="1" customWidth="1"/>
    <col min="4069" max="4070" width="7" style="1" customWidth="1"/>
    <col min="4071" max="4072" width="6.7109375" style="1" customWidth="1"/>
    <col min="4073" max="4074" width="8.85546875" style="1" customWidth="1"/>
    <col min="4075" max="4076" width="7.5703125" style="1" customWidth="1"/>
    <col min="4077" max="4078" width="7.7109375" style="1" customWidth="1"/>
    <col min="4079" max="4295" width="9.140625" style="1"/>
    <col min="4296" max="4296" width="10.140625" style="1" customWidth="1"/>
    <col min="4297" max="4297" width="17.28515625" style="1" customWidth="1"/>
    <col min="4298" max="4298" width="9.42578125" style="1" customWidth="1"/>
    <col min="4299" max="4300" width="9" style="1" customWidth="1"/>
    <col min="4301" max="4302" width="7" style="1" customWidth="1"/>
    <col min="4303" max="4304" width="8.28515625" style="1" customWidth="1"/>
    <col min="4305" max="4314" width="7" style="1" customWidth="1"/>
    <col min="4315" max="4316" width="6.85546875" style="1" customWidth="1"/>
    <col min="4317" max="4318" width="6" style="1" customWidth="1"/>
    <col min="4319" max="4320" width="9.140625" style="1" customWidth="1"/>
    <col min="4321" max="4322" width="6" style="1" customWidth="1"/>
    <col min="4323" max="4324" width="8.140625" style="1" customWidth="1"/>
    <col min="4325" max="4326" width="7" style="1" customWidth="1"/>
    <col min="4327" max="4328" width="6.7109375" style="1" customWidth="1"/>
    <col min="4329" max="4330" width="8.85546875" style="1" customWidth="1"/>
    <col min="4331" max="4332" width="7.5703125" style="1" customWidth="1"/>
    <col min="4333" max="4334" width="7.7109375" style="1" customWidth="1"/>
    <col min="4335" max="4551" width="9.140625" style="1"/>
    <col min="4552" max="4552" width="10.140625" style="1" customWidth="1"/>
    <col min="4553" max="4553" width="17.28515625" style="1" customWidth="1"/>
    <col min="4554" max="4554" width="9.42578125" style="1" customWidth="1"/>
    <col min="4555" max="4556" width="9" style="1" customWidth="1"/>
    <col min="4557" max="4558" width="7" style="1" customWidth="1"/>
    <col min="4559" max="4560" width="8.28515625" style="1" customWidth="1"/>
    <col min="4561" max="4570" width="7" style="1" customWidth="1"/>
    <col min="4571" max="4572" width="6.85546875" style="1" customWidth="1"/>
    <col min="4573" max="4574" width="6" style="1" customWidth="1"/>
    <col min="4575" max="4576" width="9.140625" style="1" customWidth="1"/>
    <col min="4577" max="4578" width="6" style="1" customWidth="1"/>
    <col min="4579" max="4580" width="8.140625" style="1" customWidth="1"/>
    <col min="4581" max="4582" width="7" style="1" customWidth="1"/>
    <col min="4583" max="4584" width="6.7109375" style="1" customWidth="1"/>
    <col min="4585" max="4586" width="8.85546875" style="1" customWidth="1"/>
    <col min="4587" max="4588" width="7.5703125" style="1" customWidth="1"/>
    <col min="4589" max="4590" width="7.7109375" style="1" customWidth="1"/>
    <col min="4591" max="4807" width="9.140625" style="1"/>
    <col min="4808" max="4808" width="10.140625" style="1" customWidth="1"/>
    <col min="4809" max="4809" width="17.28515625" style="1" customWidth="1"/>
    <col min="4810" max="4810" width="9.42578125" style="1" customWidth="1"/>
    <col min="4811" max="4812" width="9" style="1" customWidth="1"/>
    <col min="4813" max="4814" width="7" style="1" customWidth="1"/>
    <col min="4815" max="4816" width="8.28515625" style="1" customWidth="1"/>
    <col min="4817" max="4826" width="7" style="1" customWidth="1"/>
    <col min="4827" max="4828" width="6.85546875" style="1" customWidth="1"/>
    <col min="4829" max="4830" width="6" style="1" customWidth="1"/>
    <col min="4831" max="4832" width="9.140625" style="1" customWidth="1"/>
    <col min="4833" max="4834" width="6" style="1" customWidth="1"/>
    <col min="4835" max="4836" width="8.140625" style="1" customWidth="1"/>
    <col min="4837" max="4838" width="7" style="1" customWidth="1"/>
    <col min="4839" max="4840" width="6.7109375" style="1" customWidth="1"/>
    <col min="4841" max="4842" width="8.85546875" style="1" customWidth="1"/>
    <col min="4843" max="4844" width="7.5703125" style="1" customWidth="1"/>
    <col min="4845" max="4846" width="7.7109375" style="1" customWidth="1"/>
    <col min="4847" max="5063" width="9.140625" style="1"/>
    <col min="5064" max="5064" width="10.140625" style="1" customWidth="1"/>
    <col min="5065" max="5065" width="17.28515625" style="1" customWidth="1"/>
    <col min="5066" max="5066" width="9.42578125" style="1" customWidth="1"/>
    <col min="5067" max="5068" width="9" style="1" customWidth="1"/>
    <col min="5069" max="5070" width="7" style="1" customWidth="1"/>
    <col min="5071" max="5072" width="8.28515625" style="1" customWidth="1"/>
    <col min="5073" max="5082" width="7" style="1" customWidth="1"/>
    <col min="5083" max="5084" width="6.85546875" style="1" customWidth="1"/>
    <col min="5085" max="5086" width="6" style="1" customWidth="1"/>
    <col min="5087" max="5088" width="9.140625" style="1" customWidth="1"/>
    <col min="5089" max="5090" width="6" style="1" customWidth="1"/>
    <col min="5091" max="5092" width="8.140625" style="1" customWidth="1"/>
    <col min="5093" max="5094" width="7" style="1" customWidth="1"/>
    <col min="5095" max="5096" width="6.7109375" style="1" customWidth="1"/>
    <col min="5097" max="5098" width="8.85546875" style="1" customWidth="1"/>
    <col min="5099" max="5100" width="7.5703125" style="1" customWidth="1"/>
    <col min="5101" max="5102" width="7.7109375" style="1" customWidth="1"/>
    <col min="5103" max="5319" width="9.140625" style="1"/>
    <col min="5320" max="5320" width="10.140625" style="1" customWidth="1"/>
    <col min="5321" max="5321" width="17.28515625" style="1" customWidth="1"/>
    <col min="5322" max="5322" width="9.42578125" style="1" customWidth="1"/>
    <col min="5323" max="5324" width="9" style="1" customWidth="1"/>
    <col min="5325" max="5326" width="7" style="1" customWidth="1"/>
    <col min="5327" max="5328" width="8.28515625" style="1" customWidth="1"/>
    <col min="5329" max="5338" width="7" style="1" customWidth="1"/>
    <col min="5339" max="5340" width="6.85546875" style="1" customWidth="1"/>
    <col min="5341" max="5342" width="6" style="1" customWidth="1"/>
    <col min="5343" max="5344" width="9.140625" style="1" customWidth="1"/>
    <col min="5345" max="5346" width="6" style="1" customWidth="1"/>
    <col min="5347" max="5348" width="8.140625" style="1" customWidth="1"/>
    <col min="5349" max="5350" width="7" style="1" customWidth="1"/>
    <col min="5351" max="5352" width="6.7109375" style="1" customWidth="1"/>
    <col min="5353" max="5354" width="8.85546875" style="1" customWidth="1"/>
    <col min="5355" max="5356" width="7.5703125" style="1" customWidth="1"/>
    <col min="5357" max="5358" width="7.7109375" style="1" customWidth="1"/>
    <col min="5359" max="5575" width="9.140625" style="1"/>
    <col min="5576" max="5576" width="10.140625" style="1" customWidth="1"/>
    <col min="5577" max="5577" width="17.28515625" style="1" customWidth="1"/>
    <col min="5578" max="5578" width="9.42578125" style="1" customWidth="1"/>
    <col min="5579" max="5580" width="9" style="1" customWidth="1"/>
    <col min="5581" max="5582" width="7" style="1" customWidth="1"/>
    <col min="5583" max="5584" width="8.28515625" style="1" customWidth="1"/>
    <col min="5585" max="5594" width="7" style="1" customWidth="1"/>
    <col min="5595" max="5596" width="6.85546875" style="1" customWidth="1"/>
    <col min="5597" max="5598" width="6" style="1" customWidth="1"/>
    <col min="5599" max="5600" width="9.140625" style="1" customWidth="1"/>
    <col min="5601" max="5602" width="6" style="1" customWidth="1"/>
    <col min="5603" max="5604" width="8.140625" style="1" customWidth="1"/>
    <col min="5605" max="5606" width="7" style="1" customWidth="1"/>
    <col min="5607" max="5608" width="6.7109375" style="1" customWidth="1"/>
    <col min="5609" max="5610" width="8.85546875" style="1" customWidth="1"/>
    <col min="5611" max="5612" width="7.5703125" style="1" customWidth="1"/>
    <col min="5613" max="5614" width="7.7109375" style="1" customWidth="1"/>
    <col min="5615" max="5831" width="9.140625" style="1"/>
    <col min="5832" max="5832" width="10.140625" style="1" customWidth="1"/>
    <col min="5833" max="5833" width="17.28515625" style="1" customWidth="1"/>
    <col min="5834" max="5834" width="9.42578125" style="1" customWidth="1"/>
    <col min="5835" max="5836" width="9" style="1" customWidth="1"/>
    <col min="5837" max="5838" width="7" style="1" customWidth="1"/>
    <col min="5839" max="5840" width="8.28515625" style="1" customWidth="1"/>
    <col min="5841" max="5850" width="7" style="1" customWidth="1"/>
    <col min="5851" max="5852" width="6.85546875" style="1" customWidth="1"/>
    <col min="5853" max="5854" width="6" style="1" customWidth="1"/>
    <col min="5855" max="5856" width="9.140625" style="1" customWidth="1"/>
    <col min="5857" max="5858" width="6" style="1" customWidth="1"/>
    <col min="5859" max="5860" width="8.140625" style="1" customWidth="1"/>
    <col min="5861" max="5862" width="7" style="1" customWidth="1"/>
    <col min="5863" max="5864" width="6.7109375" style="1" customWidth="1"/>
    <col min="5865" max="5866" width="8.85546875" style="1" customWidth="1"/>
    <col min="5867" max="5868" width="7.5703125" style="1" customWidth="1"/>
    <col min="5869" max="5870" width="7.7109375" style="1" customWidth="1"/>
    <col min="5871" max="6087" width="9.140625" style="1"/>
    <col min="6088" max="6088" width="10.140625" style="1" customWidth="1"/>
    <col min="6089" max="6089" width="17.28515625" style="1" customWidth="1"/>
    <col min="6090" max="6090" width="9.42578125" style="1" customWidth="1"/>
    <col min="6091" max="6092" width="9" style="1" customWidth="1"/>
    <col min="6093" max="6094" width="7" style="1" customWidth="1"/>
    <col min="6095" max="6096" width="8.28515625" style="1" customWidth="1"/>
    <col min="6097" max="6106" width="7" style="1" customWidth="1"/>
    <col min="6107" max="6108" width="6.85546875" style="1" customWidth="1"/>
    <col min="6109" max="6110" width="6" style="1" customWidth="1"/>
    <col min="6111" max="6112" width="9.140625" style="1" customWidth="1"/>
    <col min="6113" max="6114" width="6" style="1" customWidth="1"/>
    <col min="6115" max="6116" width="8.140625" style="1" customWidth="1"/>
    <col min="6117" max="6118" width="7" style="1" customWidth="1"/>
    <col min="6119" max="6120" width="6.7109375" style="1" customWidth="1"/>
    <col min="6121" max="6122" width="8.85546875" style="1" customWidth="1"/>
    <col min="6123" max="6124" width="7.5703125" style="1" customWidth="1"/>
    <col min="6125" max="6126" width="7.7109375" style="1" customWidth="1"/>
    <col min="6127" max="6343" width="9.140625" style="1"/>
    <col min="6344" max="6344" width="10.140625" style="1" customWidth="1"/>
    <col min="6345" max="6345" width="17.28515625" style="1" customWidth="1"/>
    <col min="6346" max="6346" width="9.42578125" style="1" customWidth="1"/>
    <col min="6347" max="6348" width="9" style="1" customWidth="1"/>
    <col min="6349" max="6350" width="7" style="1" customWidth="1"/>
    <col min="6351" max="6352" width="8.28515625" style="1" customWidth="1"/>
    <col min="6353" max="6362" width="7" style="1" customWidth="1"/>
    <col min="6363" max="6364" width="6.85546875" style="1" customWidth="1"/>
    <col min="6365" max="6366" width="6" style="1" customWidth="1"/>
    <col min="6367" max="6368" width="9.140625" style="1" customWidth="1"/>
    <col min="6369" max="6370" width="6" style="1" customWidth="1"/>
    <col min="6371" max="6372" width="8.140625" style="1" customWidth="1"/>
    <col min="6373" max="6374" width="7" style="1" customWidth="1"/>
    <col min="6375" max="6376" width="6.7109375" style="1" customWidth="1"/>
    <col min="6377" max="6378" width="8.85546875" style="1" customWidth="1"/>
    <col min="6379" max="6380" width="7.5703125" style="1" customWidth="1"/>
    <col min="6381" max="6382" width="7.7109375" style="1" customWidth="1"/>
    <col min="6383" max="6599" width="9.140625" style="1"/>
    <col min="6600" max="6600" width="10.140625" style="1" customWidth="1"/>
    <col min="6601" max="6601" width="17.28515625" style="1" customWidth="1"/>
    <col min="6602" max="6602" width="9.42578125" style="1" customWidth="1"/>
    <col min="6603" max="6604" width="9" style="1" customWidth="1"/>
    <col min="6605" max="6606" width="7" style="1" customWidth="1"/>
    <col min="6607" max="6608" width="8.28515625" style="1" customWidth="1"/>
    <col min="6609" max="6618" width="7" style="1" customWidth="1"/>
    <col min="6619" max="6620" width="6.85546875" style="1" customWidth="1"/>
    <col min="6621" max="6622" width="6" style="1" customWidth="1"/>
    <col min="6623" max="6624" width="9.140625" style="1" customWidth="1"/>
    <col min="6625" max="6626" width="6" style="1" customWidth="1"/>
    <col min="6627" max="6628" width="8.140625" style="1" customWidth="1"/>
    <col min="6629" max="6630" width="7" style="1" customWidth="1"/>
    <col min="6631" max="6632" width="6.7109375" style="1" customWidth="1"/>
    <col min="6633" max="6634" width="8.85546875" style="1" customWidth="1"/>
    <col min="6635" max="6636" width="7.5703125" style="1" customWidth="1"/>
    <col min="6637" max="6638" width="7.7109375" style="1" customWidth="1"/>
    <col min="6639" max="6855" width="9.140625" style="1"/>
    <col min="6856" max="6856" width="10.140625" style="1" customWidth="1"/>
    <col min="6857" max="6857" width="17.28515625" style="1" customWidth="1"/>
    <col min="6858" max="6858" width="9.42578125" style="1" customWidth="1"/>
    <col min="6859" max="6860" width="9" style="1" customWidth="1"/>
    <col min="6861" max="6862" width="7" style="1" customWidth="1"/>
    <col min="6863" max="6864" width="8.28515625" style="1" customWidth="1"/>
    <col min="6865" max="6874" width="7" style="1" customWidth="1"/>
    <col min="6875" max="6876" width="6.85546875" style="1" customWidth="1"/>
    <col min="6877" max="6878" width="6" style="1" customWidth="1"/>
    <col min="6879" max="6880" width="9.140625" style="1" customWidth="1"/>
    <col min="6881" max="6882" width="6" style="1" customWidth="1"/>
    <col min="6883" max="6884" width="8.140625" style="1" customWidth="1"/>
    <col min="6885" max="6886" width="7" style="1" customWidth="1"/>
    <col min="6887" max="6888" width="6.7109375" style="1" customWidth="1"/>
    <col min="6889" max="6890" width="8.85546875" style="1" customWidth="1"/>
    <col min="6891" max="6892" width="7.5703125" style="1" customWidth="1"/>
    <col min="6893" max="6894" width="7.7109375" style="1" customWidth="1"/>
    <col min="6895" max="7111" width="9.140625" style="1"/>
    <col min="7112" max="7112" width="10.140625" style="1" customWidth="1"/>
    <col min="7113" max="7113" width="17.28515625" style="1" customWidth="1"/>
    <col min="7114" max="7114" width="9.42578125" style="1" customWidth="1"/>
    <col min="7115" max="7116" width="9" style="1" customWidth="1"/>
    <col min="7117" max="7118" width="7" style="1" customWidth="1"/>
    <col min="7119" max="7120" width="8.28515625" style="1" customWidth="1"/>
    <col min="7121" max="7130" width="7" style="1" customWidth="1"/>
    <col min="7131" max="7132" width="6.85546875" style="1" customWidth="1"/>
    <col min="7133" max="7134" width="6" style="1" customWidth="1"/>
    <col min="7135" max="7136" width="9.140625" style="1" customWidth="1"/>
    <col min="7137" max="7138" width="6" style="1" customWidth="1"/>
    <col min="7139" max="7140" width="8.140625" style="1" customWidth="1"/>
    <col min="7141" max="7142" width="7" style="1" customWidth="1"/>
    <col min="7143" max="7144" width="6.7109375" style="1" customWidth="1"/>
    <col min="7145" max="7146" width="8.85546875" style="1" customWidth="1"/>
    <col min="7147" max="7148" width="7.5703125" style="1" customWidth="1"/>
    <col min="7149" max="7150" width="7.7109375" style="1" customWidth="1"/>
    <col min="7151" max="7367" width="9.140625" style="1"/>
    <col min="7368" max="7368" width="10.140625" style="1" customWidth="1"/>
    <col min="7369" max="7369" width="17.28515625" style="1" customWidth="1"/>
    <col min="7370" max="7370" width="9.42578125" style="1" customWidth="1"/>
    <col min="7371" max="7372" width="9" style="1" customWidth="1"/>
    <col min="7373" max="7374" width="7" style="1" customWidth="1"/>
    <col min="7375" max="7376" width="8.28515625" style="1" customWidth="1"/>
    <col min="7377" max="7386" width="7" style="1" customWidth="1"/>
    <col min="7387" max="7388" width="6.85546875" style="1" customWidth="1"/>
    <col min="7389" max="7390" width="6" style="1" customWidth="1"/>
    <col min="7391" max="7392" width="9.140625" style="1" customWidth="1"/>
    <col min="7393" max="7394" width="6" style="1" customWidth="1"/>
    <col min="7395" max="7396" width="8.140625" style="1" customWidth="1"/>
    <col min="7397" max="7398" width="7" style="1" customWidth="1"/>
    <col min="7399" max="7400" width="6.7109375" style="1" customWidth="1"/>
    <col min="7401" max="7402" width="8.85546875" style="1" customWidth="1"/>
    <col min="7403" max="7404" width="7.5703125" style="1" customWidth="1"/>
    <col min="7405" max="7406" width="7.7109375" style="1" customWidth="1"/>
    <col min="7407" max="7623" width="9.140625" style="1"/>
    <col min="7624" max="7624" width="10.140625" style="1" customWidth="1"/>
    <col min="7625" max="7625" width="17.28515625" style="1" customWidth="1"/>
    <col min="7626" max="7626" width="9.42578125" style="1" customWidth="1"/>
    <col min="7627" max="7628" width="9" style="1" customWidth="1"/>
    <col min="7629" max="7630" width="7" style="1" customWidth="1"/>
    <col min="7631" max="7632" width="8.28515625" style="1" customWidth="1"/>
    <col min="7633" max="7642" width="7" style="1" customWidth="1"/>
    <col min="7643" max="7644" width="6.85546875" style="1" customWidth="1"/>
    <col min="7645" max="7646" width="6" style="1" customWidth="1"/>
    <col min="7647" max="7648" width="9.140625" style="1" customWidth="1"/>
    <col min="7649" max="7650" width="6" style="1" customWidth="1"/>
    <col min="7651" max="7652" width="8.140625" style="1" customWidth="1"/>
    <col min="7653" max="7654" width="7" style="1" customWidth="1"/>
    <col min="7655" max="7656" width="6.7109375" style="1" customWidth="1"/>
    <col min="7657" max="7658" width="8.85546875" style="1" customWidth="1"/>
    <col min="7659" max="7660" width="7.5703125" style="1" customWidth="1"/>
    <col min="7661" max="7662" width="7.7109375" style="1" customWidth="1"/>
    <col min="7663" max="7879" width="9.140625" style="1"/>
    <col min="7880" max="7880" width="10.140625" style="1" customWidth="1"/>
    <col min="7881" max="7881" width="17.28515625" style="1" customWidth="1"/>
    <col min="7882" max="7882" width="9.42578125" style="1" customWidth="1"/>
    <col min="7883" max="7884" width="9" style="1" customWidth="1"/>
    <col min="7885" max="7886" width="7" style="1" customWidth="1"/>
    <col min="7887" max="7888" width="8.28515625" style="1" customWidth="1"/>
    <col min="7889" max="7898" width="7" style="1" customWidth="1"/>
    <col min="7899" max="7900" width="6.85546875" style="1" customWidth="1"/>
    <col min="7901" max="7902" width="6" style="1" customWidth="1"/>
    <col min="7903" max="7904" width="9.140625" style="1" customWidth="1"/>
    <col min="7905" max="7906" width="6" style="1" customWidth="1"/>
    <col min="7907" max="7908" width="8.140625" style="1" customWidth="1"/>
    <col min="7909" max="7910" width="7" style="1" customWidth="1"/>
    <col min="7911" max="7912" width="6.7109375" style="1" customWidth="1"/>
    <col min="7913" max="7914" width="8.85546875" style="1" customWidth="1"/>
    <col min="7915" max="7916" width="7.5703125" style="1" customWidth="1"/>
    <col min="7917" max="7918" width="7.7109375" style="1" customWidth="1"/>
    <col min="7919" max="8135" width="9.140625" style="1"/>
    <col min="8136" max="8136" width="10.140625" style="1" customWidth="1"/>
    <col min="8137" max="8137" width="17.28515625" style="1" customWidth="1"/>
    <col min="8138" max="8138" width="9.42578125" style="1" customWidth="1"/>
    <col min="8139" max="8140" width="9" style="1" customWidth="1"/>
    <col min="8141" max="8142" width="7" style="1" customWidth="1"/>
    <col min="8143" max="8144" width="8.28515625" style="1" customWidth="1"/>
    <col min="8145" max="8154" width="7" style="1" customWidth="1"/>
    <col min="8155" max="8156" width="6.85546875" style="1" customWidth="1"/>
    <col min="8157" max="8158" width="6" style="1" customWidth="1"/>
    <col min="8159" max="8160" width="9.140625" style="1" customWidth="1"/>
    <col min="8161" max="8162" width="6" style="1" customWidth="1"/>
    <col min="8163" max="8164" width="8.140625" style="1" customWidth="1"/>
    <col min="8165" max="8166" width="7" style="1" customWidth="1"/>
    <col min="8167" max="8168" width="6.7109375" style="1" customWidth="1"/>
    <col min="8169" max="8170" width="8.85546875" style="1" customWidth="1"/>
    <col min="8171" max="8172" width="7.5703125" style="1" customWidth="1"/>
    <col min="8173" max="8174" width="7.7109375" style="1" customWidth="1"/>
    <col min="8175" max="8391" width="9.140625" style="1"/>
    <col min="8392" max="8392" width="10.140625" style="1" customWidth="1"/>
    <col min="8393" max="8393" width="17.28515625" style="1" customWidth="1"/>
    <col min="8394" max="8394" width="9.42578125" style="1" customWidth="1"/>
    <col min="8395" max="8396" width="9" style="1" customWidth="1"/>
    <col min="8397" max="8398" width="7" style="1" customWidth="1"/>
    <col min="8399" max="8400" width="8.28515625" style="1" customWidth="1"/>
    <col min="8401" max="8410" width="7" style="1" customWidth="1"/>
    <col min="8411" max="8412" width="6.85546875" style="1" customWidth="1"/>
    <col min="8413" max="8414" width="6" style="1" customWidth="1"/>
    <col min="8415" max="8416" width="9.140625" style="1" customWidth="1"/>
    <col min="8417" max="8418" width="6" style="1" customWidth="1"/>
    <col min="8419" max="8420" width="8.140625" style="1" customWidth="1"/>
    <col min="8421" max="8422" width="7" style="1" customWidth="1"/>
    <col min="8423" max="8424" width="6.7109375" style="1" customWidth="1"/>
    <col min="8425" max="8426" width="8.85546875" style="1" customWidth="1"/>
    <col min="8427" max="8428" width="7.5703125" style="1" customWidth="1"/>
    <col min="8429" max="8430" width="7.7109375" style="1" customWidth="1"/>
    <col min="8431" max="8647" width="9.140625" style="1"/>
    <col min="8648" max="8648" width="10.140625" style="1" customWidth="1"/>
    <col min="8649" max="8649" width="17.28515625" style="1" customWidth="1"/>
    <col min="8650" max="8650" width="9.42578125" style="1" customWidth="1"/>
    <col min="8651" max="8652" width="9" style="1" customWidth="1"/>
    <col min="8653" max="8654" width="7" style="1" customWidth="1"/>
    <col min="8655" max="8656" width="8.28515625" style="1" customWidth="1"/>
    <col min="8657" max="8666" width="7" style="1" customWidth="1"/>
    <col min="8667" max="8668" width="6.85546875" style="1" customWidth="1"/>
    <col min="8669" max="8670" width="6" style="1" customWidth="1"/>
    <col min="8671" max="8672" width="9.140625" style="1" customWidth="1"/>
    <col min="8673" max="8674" width="6" style="1" customWidth="1"/>
    <col min="8675" max="8676" width="8.140625" style="1" customWidth="1"/>
    <col min="8677" max="8678" width="7" style="1" customWidth="1"/>
    <col min="8679" max="8680" width="6.7109375" style="1" customWidth="1"/>
    <col min="8681" max="8682" width="8.85546875" style="1" customWidth="1"/>
    <col min="8683" max="8684" width="7.5703125" style="1" customWidth="1"/>
    <col min="8685" max="8686" width="7.7109375" style="1" customWidth="1"/>
    <col min="8687" max="8903" width="9.140625" style="1"/>
    <col min="8904" max="8904" width="10.140625" style="1" customWidth="1"/>
    <col min="8905" max="8905" width="17.28515625" style="1" customWidth="1"/>
    <col min="8906" max="8906" width="9.42578125" style="1" customWidth="1"/>
    <col min="8907" max="8908" width="9" style="1" customWidth="1"/>
    <col min="8909" max="8910" width="7" style="1" customWidth="1"/>
    <col min="8911" max="8912" width="8.28515625" style="1" customWidth="1"/>
    <col min="8913" max="8922" width="7" style="1" customWidth="1"/>
    <col min="8923" max="8924" width="6.85546875" style="1" customWidth="1"/>
    <col min="8925" max="8926" width="6" style="1" customWidth="1"/>
    <col min="8927" max="8928" width="9.140625" style="1" customWidth="1"/>
    <col min="8929" max="8930" width="6" style="1" customWidth="1"/>
    <col min="8931" max="8932" width="8.140625" style="1" customWidth="1"/>
    <col min="8933" max="8934" width="7" style="1" customWidth="1"/>
    <col min="8935" max="8936" width="6.7109375" style="1" customWidth="1"/>
    <col min="8937" max="8938" width="8.85546875" style="1" customWidth="1"/>
    <col min="8939" max="8940" width="7.5703125" style="1" customWidth="1"/>
    <col min="8941" max="8942" width="7.7109375" style="1" customWidth="1"/>
    <col min="8943" max="9159" width="9.140625" style="1"/>
    <col min="9160" max="9160" width="10.140625" style="1" customWidth="1"/>
    <col min="9161" max="9161" width="17.28515625" style="1" customWidth="1"/>
    <col min="9162" max="9162" width="9.42578125" style="1" customWidth="1"/>
    <col min="9163" max="9164" width="9" style="1" customWidth="1"/>
    <col min="9165" max="9166" width="7" style="1" customWidth="1"/>
    <col min="9167" max="9168" width="8.28515625" style="1" customWidth="1"/>
    <col min="9169" max="9178" width="7" style="1" customWidth="1"/>
    <col min="9179" max="9180" width="6.85546875" style="1" customWidth="1"/>
    <col min="9181" max="9182" width="6" style="1" customWidth="1"/>
    <col min="9183" max="9184" width="9.140625" style="1" customWidth="1"/>
    <col min="9185" max="9186" width="6" style="1" customWidth="1"/>
    <col min="9187" max="9188" width="8.140625" style="1" customWidth="1"/>
    <col min="9189" max="9190" width="7" style="1" customWidth="1"/>
    <col min="9191" max="9192" width="6.7109375" style="1" customWidth="1"/>
    <col min="9193" max="9194" width="8.85546875" style="1" customWidth="1"/>
    <col min="9195" max="9196" width="7.5703125" style="1" customWidth="1"/>
    <col min="9197" max="9198" width="7.7109375" style="1" customWidth="1"/>
    <col min="9199" max="9415" width="9.140625" style="1"/>
    <col min="9416" max="9416" width="10.140625" style="1" customWidth="1"/>
    <col min="9417" max="9417" width="17.28515625" style="1" customWidth="1"/>
    <col min="9418" max="9418" width="9.42578125" style="1" customWidth="1"/>
    <col min="9419" max="9420" width="9" style="1" customWidth="1"/>
    <col min="9421" max="9422" width="7" style="1" customWidth="1"/>
    <col min="9423" max="9424" width="8.28515625" style="1" customWidth="1"/>
    <col min="9425" max="9434" width="7" style="1" customWidth="1"/>
    <col min="9435" max="9436" width="6.85546875" style="1" customWidth="1"/>
    <col min="9437" max="9438" width="6" style="1" customWidth="1"/>
    <col min="9439" max="9440" width="9.140625" style="1" customWidth="1"/>
    <col min="9441" max="9442" width="6" style="1" customWidth="1"/>
    <col min="9443" max="9444" width="8.140625" style="1" customWidth="1"/>
    <col min="9445" max="9446" width="7" style="1" customWidth="1"/>
    <col min="9447" max="9448" width="6.7109375" style="1" customWidth="1"/>
    <col min="9449" max="9450" width="8.85546875" style="1" customWidth="1"/>
    <col min="9451" max="9452" width="7.5703125" style="1" customWidth="1"/>
    <col min="9453" max="9454" width="7.7109375" style="1" customWidth="1"/>
    <col min="9455" max="9671" width="9.140625" style="1"/>
    <col min="9672" max="9672" width="10.140625" style="1" customWidth="1"/>
    <col min="9673" max="9673" width="17.28515625" style="1" customWidth="1"/>
    <col min="9674" max="9674" width="9.42578125" style="1" customWidth="1"/>
    <col min="9675" max="9676" width="9" style="1" customWidth="1"/>
    <col min="9677" max="9678" width="7" style="1" customWidth="1"/>
    <col min="9679" max="9680" width="8.28515625" style="1" customWidth="1"/>
    <col min="9681" max="9690" width="7" style="1" customWidth="1"/>
    <col min="9691" max="9692" width="6.85546875" style="1" customWidth="1"/>
    <col min="9693" max="9694" width="6" style="1" customWidth="1"/>
    <col min="9695" max="9696" width="9.140625" style="1" customWidth="1"/>
    <col min="9697" max="9698" width="6" style="1" customWidth="1"/>
    <col min="9699" max="9700" width="8.140625" style="1" customWidth="1"/>
    <col min="9701" max="9702" width="7" style="1" customWidth="1"/>
    <col min="9703" max="9704" width="6.7109375" style="1" customWidth="1"/>
    <col min="9705" max="9706" width="8.85546875" style="1" customWidth="1"/>
    <col min="9707" max="9708" width="7.5703125" style="1" customWidth="1"/>
    <col min="9709" max="9710" width="7.7109375" style="1" customWidth="1"/>
    <col min="9711" max="9927" width="9.140625" style="1"/>
    <col min="9928" max="9928" width="10.140625" style="1" customWidth="1"/>
    <col min="9929" max="9929" width="17.28515625" style="1" customWidth="1"/>
    <col min="9930" max="9930" width="9.42578125" style="1" customWidth="1"/>
    <col min="9931" max="9932" width="9" style="1" customWidth="1"/>
    <col min="9933" max="9934" width="7" style="1" customWidth="1"/>
    <col min="9935" max="9936" width="8.28515625" style="1" customWidth="1"/>
    <col min="9937" max="9946" width="7" style="1" customWidth="1"/>
    <col min="9947" max="9948" width="6.85546875" style="1" customWidth="1"/>
    <col min="9949" max="9950" width="6" style="1" customWidth="1"/>
    <col min="9951" max="9952" width="9.140625" style="1" customWidth="1"/>
    <col min="9953" max="9954" width="6" style="1" customWidth="1"/>
    <col min="9955" max="9956" width="8.140625" style="1" customWidth="1"/>
    <col min="9957" max="9958" width="7" style="1" customWidth="1"/>
    <col min="9959" max="9960" width="6.7109375" style="1" customWidth="1"/>
    <col min="9961" max="9962" width="8.85546875" style="1" customWidth="1"/>
    <col min="9963" max="9964" width="7.5703125" style="1" customWidth="1"/>
    <col min="9965" max="9966" width="7.7109375" style="1" customWidth="1"/>
    <col min="9967" max="10183" width="9.140625" style="1"/>
    <col min="10184" max="10184" width="10.140625" style="1" customWidth="1"/>
    <col min="10185" max="10185" width="17.28515625" style="1" customWidth="1"/>
    <col min="10186" max="10186" width="9.42578125" style="1" customWidth="1"/>
    <col min="10187" max="10188" width="9" style="1" customWidth="1"/>
    <col min="10189" max="10190" width="7" style="1" customWidth="1"/>
    <col min="10191" max="10192" width="8.28515625" style="1" customWidth="1"/>
    <col min="10193" max="10202" width="7" style="1" customWidth="1"/>
    <col min="10203" max="10204" width="6.85546875" style="1" customWidth="1"/>
    <col min="10205" max="10206" width="6" style="1" customWidth="1"/>
    <col min="10207" max="10208" width="9.140625" style="1" customWidth="1"/>
    <col min="10209" max="10210" width="6" style="1" customWidth="1"/>
    <col min="10211" max="10212" width="8.140625" style="1" customWidth="1"/>
    <col min="10213" max="10214" width="7" style="1" customWidth="1"/>
    <col min="10215" max="10216" width="6.7109375" style="1" customWidth="1"/>
    <col min="10217" max="10218" width="8.85546875" style="1" customWidth="1"/>
    <col min="10219" max="10220" width="7.5703125" style="1" customWidth="1"/>
    <col min="10221" max="10222" width="7.7109375" style="1" customWidth="1"/>
    <col min="10223" max="10439" width="9.140625" style="1"/>
    <col min="10440" max="10440" width="10.140625" style="1" customWidth="1"/>
    <col min="10441" max="10441" width="17.28515625" style="1" customWidth="1"/>
    <col min="10442" max="10442" width="9.42578125" style="1" customWidth="1"/>
    <col min="10443" max="10444" width="9" style="1" customWidth="1"/>
    <col min="10445" max="10446" width="7" style="1" customWidth="1"/>
    <col min="10447" max="10448" width="8.28515625" style="1" customWidth="1"/>
    <col min="10449" max="10458" width="7" style="1" customWidth="1"/>
    <col min="10459" max="10460" width="6.85546875" style="1" customWidth="1"/>
    <col min="10461" max="10462" width="6" style="1" customWidth="1"/>
    <col min="10463" max="10464" width="9.140625" style="1" customWidth="1"/>
    <col min="10465" max="10466" width="6" style="1" customWidth="1"/>
    <col min="10467" max="10468" width="8.140625" style="1" customWidth="1"/>
    <col min="10469" max="10470" width="7" style="1" customWidth="1"/>
    <col min="10471" max="10472" width="6.7109375" style="1" customWidth="1"/>
    <col min="10473" max="10474" width="8.85546875" style="1" customWidth="1"/>
    <col min="10475" max="10476" width="7.5703125" style="1" customWidth="1"/>
    <col min="10477" max="10478" width="7.7109375" style="1" customWidth="1"/>
    <col min="10479" max="10695" width="9.140625" style="1"/>
    <col min="10696" max="10696" width="10.140625" style="1" customWidth="1"/>
    <col min="10697" max="10697" width="17.28515625" style="1" customWidth="1"/>
    <col min="10698" max="10698" width="9.42578125" style="1" customWidth="1"/>
    <col min="10699" max="10700" width="9" style="1" customWidth="1"/>
    <col min="10701" max="10702" width="7" style="1" customWidth="1"/>
    <col min="10703" max="10704" width="8.28515625" style="1" customWidth="1"/>
    <col min="10705" max="10714" width="7" style="1" customWidth="1"/>
    <col min="10715" max="10716" width="6.85546875" style="1" customWidth="1"/>
    <col min="10717" max="10718" width="6" style="1" customWidth="1"/>
    <col min="10719" max="10720" width="9.140625" style="1" customWidth="1"/>
    <col min="10721" max="10722" width="6" style="1" customWidth="1"/>
    <col min="10723" max="10724" width="8.140625" style="1" customWidth="1"/>
    <col min="10725" max="10726" width="7" style="1" customWidth="1"/>
    <col min="10727" max="10728" width="6.7109375" style="1" customWidth="1"/>
    <col min="10729" max="10730" width="8.85546875" style="1" customWidth="1"/>
    <col min="10731" max="10732" width="7.5703125" style="1" customWidth="1"/>
    <col min="10733" max="10734" width="7.7109375" style="1" customWidth="1"/>
    <col min="10735" max="10951" width="9.140625" style="1"/>
    <col min="10952" max="10952" width="10.140625" style="1" customWidth="1"/>
    <col min="10953" max="10953" width="17.28515625" style="1" customWidth="1"/>
    <col min="10954" max="10954" width="9.42578125" style="1" customWidth="1"/>
    <col min="10955" max="10956" width="9" style="1" customWidth="1"/>
    <col min="10957" max="10958" width="7" style="1" customWidth="1"/>
    <col min="10959" max="10960" width="8.28515625" style="1" customWidth="1"/>
    <col min="10961" max="10970" width="7" style="1" customWidth="1"/>
    <col min="10971" max="10972" width="6.85546875" style="1" customWidth="1"/>
    <col min="10973" max="10974" width="6" style="1" customWidth="1"/>
    <col min="10975" max="10976" width="9.140625" style="1" customWidth="1"/>
    <col min="10977" max="10978" width="6" style="1" customWidth="1"/>
    <col min="10979" max="10980" width="8.140625" style="1" customWidth="1"/>
    <col min="10981" max="10982" width="7" style="1" customWidth="1"/>
    <col min="10983" max="10984" width="6.7109375" style="1" customWidth="1"/>
    <col min="10985" max="10986" width="8.85546875" style="1" customWidth="1"/>
    <col min="10987" max="10988" width="7.5703125" style="1" customWidth="1"/>
    <col min="10989" max="10990" width="7.7109375" style="1" customWidth="1"/>
    <col min="10991" max="11207" width="9.140625" style="1"/>
    <col min="11208" max="11208" width="10.140625" style="1" customWidth="1"/>
    <col min="11209" max="11209" width="17.28515625" style="1" customWidth="1"/>
    <col min="11210" max="11210" width="9.42578125" style="1" customWidth="1"/>
    <col min="11211" max="11212" width="9" style="1" customWidth="1"/>
    <col min="11213" max="11214" width="7" style="1" customWidth="1"/>
    <col min="11215" max="11216" width="8.28515625" style="1" customWidth="1"/>
    <col min="11217" max="11226" width="7" style="1" customWidth="1"/>
    <col min="11227" max="11228" width="6.85546875" style="1" customWidth="1"/>
    <col min="11229" max="11230" width="6" style="1" customWidth="1"/>
    <col min="11231" max="11232" width="9.140625" style="1" customWidth="1"/>
    <col min="11233" max="11234" width="6" style="1" customWidth="1"/>
    <col min="11235" max="11236" width="8.140625" style="1" customWidth="1"/>
    <col min="11237" max="11238" width="7" style="1" customWidth="1"/>
    <col min="11239" max="11240" width="6.7109375" style="1" customWidth="1"/>
    <col min="11241" max="11242" width="8.85546875" style="1" customWidth="1"/>
    <col min="11243" max="11244" width="7.5703125" style="1" customWidth="1"/>
    <col min="11245" max="11246" width="7.7109375" style="1" customWidth="1"/>
    <col min="11247" max="11463" width="9.140625" style="1"/>
    <col min="11464" max="11464" width="10.140625" style="1" customWidth="1"/>
    <col min="11465" max="11465" width="17.28515625" style="1" customWidth="1"/>
    <col min="11466" max="11466" width="9.42578125" style="1" customWidth="1"/>
    <col min="11467" max="11468" width="9" style="1" customWidth="1"/>
    <col min="11469" max="11470" width="7" style="1" customWidth="1"/>
    <col min="11471" max="11472" width="8.28515625" style="1" customWidth="1"/>
    <col min="11473" max="11482" width="7" style="1" customWidth="1"/>
    <col min="11483" max="11484" width="6.85546875" style="1" customWidth="1"/>
    <col min="11485" max="11486" width="6" style="1" customWidth="1"/>
    <col min="11487" max="11488" width="9.140625" style="1" customWidth="1"/>
    <col min="11489" max="11490" width="6" style="1" customWidth="1"/>
    <col min="11491" max="11492" width="8.140625" style="1" customWidth="1"/>
    <col min="11493" max="11494" width="7" style="1" customWidth="1"/>
    <col min="11495" max="11496" width="6.7109375" style="1" customWidth="1"/>
    <col min="11497" max="11498" width="8.85546875" style="1" customWidth="1"/>
    <col min="11499" max="11500" width="7.5703125" style="1" customWidth="1"/>
    <col min="11501" max="11502" width="7.7109375" style="1" customWidth="1"/>
    <col min="11503" max="11719" width="9.140625" style="1"/>
    <col min="11720" max="11720" width="10.140625" style="1" customWidth="1"/>
    <col min="11721" max="11721" width="17.28515625" style="1" customWidth="1"/>
    <col min="11722" max="11722" width="9.42578125" style="1" customWidth="1"/>
    <col min="11723" max="11724" width="9" style="1" customWidth="1"/>
    <col min="11725" max="11726" width="7" style="1" customWidth="1"/>
    <col min="11727" max="11728" width="8.28515625" style="1" customWidth="1"/>
    <col min="11729" max="11738" width="7" style="1" customWidth="1"/>
    <col min="11739" max="11740" width="6.85546875" style="1" customWidth="1"/>
    <col min="11741" max="11742" width="6" style="1" customWidth="1"/>
    <col min="11743" max="11744" width="9.140625" style="1" customWidth="1"/>
    <col min="11745" max="11746" width="6" style="1" customWidth="1"/>
    <col min="11747" max="11748" width="8.140625" style="1" customWidth="1"/>
    <col min="11749" max="11750" width="7" style="1" customWidth="1"/>
    <col min="11751" max="11752" width="6.7109375" style="1" customWidth="1"/>
    <col min="11753" max="11754" width="8.85546875" style="1" customWidth="1"/>
    <col min="11755" max="11756" width="7.5703125" style="1" customWidth="1"/>
    <col min="11757" max="11758" width="7.7109375" style="1" customWidth="1"/>
    <col min="11759" max="11975" width="9.140625" style="1"/>
    <col min="11976" max="11976" width="10.140625" style="1" customWidth="1"/>
    <col min="11977" max="11977" width="17.28515625" style="1" customWidth="1"/>
    <col min="11978" max="11978" width="9.42578125" style="1" customWidth="1"/>
    <col min="11979" max="11980" width="9" style="1" customWidth="1"/>
    <col min="11981" max="11982" width="7" style="1" customWidth="1"/>
    <col min="11983" max="11984" width="8.28515625" style="1" customWidth="1"/>
    <col min="11985" max="11994" width="7" style="1" customWidth="1"/>
    <col min="11995" max="11996" width="6.85546875" style="1" customWidth="1"/>
    <col min="11997" max="11998" width="6" style="1" customWidth="1"/>
    <col min="11999" max="12000" width="9.140625" style="1" customWidth="1"/>
    <col min="12001" max="12002" width="6" style="1" customWidth="1"/>
    <col min="12003" max="12004" width="8.140625" style="1" customWidth="1"/>
    <col min="12005" max="12006" width="7" style="1" customWidth="1"/>
    <col min="12007" max="12008" width="6.7109375" style="1" customWidth="1"/>
    <col min="12009" max="12010" width="8.85546875" style="1" customWidth="1"/>
    <col min="12011" max="12012" width="7.5703125" style="1" customWidth="1"/>
    <col min="12013" max="12014" width="7.7109375" style="1" customWidth="1"/>
    <col min="12015" max="12231" width="9.140625" style="1"/>
    <col min="12232" max="12232" width="10.140625" style="1" customWidth="1"/>
    <col min="12233" max="12233" width="17.28515625" style="1" customWidth="1"/>
    <col min="12234" max="12234" width="9.42578125" style="1" customWidth="1"/>
    <col min="12235" max="12236" width="9" style="1" customWidth="1"/>
    <col min="12237" max="12238" width="7" style="1" customWidth="1"/>
    <col min="12239" max="12240" width="8.28515625" style="1" customWidth="1"/>
    <col min="12241" max="12250" width="7" style="1" customWidth="1"/>
    <col min="12251" max="12252" width="6.85546875" style="1" customWidth="1"/>
    <col min="12253" max="12254" width="6" style="1" customWidth="1"/>
    <col min="12255" max="12256" width="9.140625" style="1" customWidth="1"/>
    <col min="12257" max="12258" width="6" style="1" customWidth="1"/>
    <col min="12259" max="12260" width="8.140625" style="1" customWidth="1"/>
    <col min="12261" max="12262" width="7" style="1" customWidth="1"/>
    <col min="12263" max="12264" width="6.7109375" style="1" customWidth="1"/>
    <col min="12265" max="12266" width="8.85546875" style="1" customWidth="1"/>
    <col min="12267" max="12268" width="7.5703125" style="1" customWidth="1"/>
    <col min="12269" max="12270" width="7.7109375" style="1" customWidth="1"/>
    <col min="12271" max="12487" width="9.140625" style="1"/>
    <col min="12488" max="12488" width="10.140625" style="1" customWidth="1"/>
    <col min="12489" max="12489" width="17.28515625" style="1" customWidth="1"/>
    <col min="12490" max="12490" width="9.42578125" style="1" customWidth="1"/>
    <col min="12491" max="12492" width="9" style="1" customWidth="1"/>
    <col min="12493" max="12494" width="7" style="1" customWidth="1"/>
    <col min="12495" max="12496" width="8.28515625" style="1" customWidth="1"/>
    <col min="12497" max="12506" width="7" style="1" customWidth="1"/>
    <col min="12507" max="12508" width="6.85546875" style="1" customWidth="1"/>
    <col min="12509" max="12510" width="6" style="1" customWidth="1"/>
    <col min="12511" max="12512" width="9.140625" style="1" customWidth="1"/>
    <col min="12513" max="12514" width="6" style="1" customWidth="1"/>
    <col min="12515" max="12516" width="8.140625" style="1" customWidth="1"/>
    <col min="12517" max="12518" width="7" style="1" customWidth="1"/>
    <col min="12519" max="12520" width="6.7109375" style="1" customWidth="1"/>
    <col min="12521" max="12522" width="8.85546875" style="1" customWidth="1"/>
    <col min="12523" max="12524" width="7.5703125" style="1" customWidth="1"/>
    <col min="12525" max="12526" width="7.7109375" style="1" customWidth="1"/>
    <col min="12527" max="12743" width="9.140625" style="1"/>
    <col min="12744" max="12744" width="10.140625" style="1" customWidth="1"/>
    <col min="12745" max="12745" width="17.28515625" style="1" customWidth="1"/>
    <col min="12746" max="12746" width="9.42578125" style="1" customWidth="1"/>
    <col min="12747" max="12748" width="9" style="1" customWidth="1"/>
    <col min="12749" max="12750" width="7" style="1" customWidth="1"/>
    <col min="12751" max="12752" width="8.28515625" style="1" customWidth="1"/>
    <col min="12753" max="12762" width="7" style="1" customWidth="1"/>
    <col min="12763" max="12764" width="6.85546875" style="1" customWidth="1"/>
    <col min="12765" max="12766" width="6" style="1" customWidth="1"/>
    <col min="12767" max="12768" width="9.140625" style="1" customWidth="1"/>
    <col min="12769" max="12770" width="6" style="1" customWidth="1"/>
    <col min="12771" max="12772" width="8.140625" style="1" customWidth="1"/>
    <col min="12773" max="12774" width="7" style="1" customWidth="1"/>
    <col min="12775" max="12776" width="6.7109375" style="1" customWidth="1"/>
    <col min="12777" max="12778" width="8.85546875" style="1" customWidth="1"/>
    <col min="12779" max="12780" width="7.5703125" style="1" customWidth="1"/>
    <col min="12781" max="12782" width="7.7109375" style="1" customWidth="1"/>
    <col min="12783" max="12999" width="9.140625" style="1"/>
    <col min="13000" max="13000" width="10.140625" style="1" customWidth="1"/>
    <col min="13001" max="13001" width="17.28515625" style="1" customWidth="1"/>
    <col min="13002" max="13002" width="9.42578125" style="1" customWidth="1"/>
    <col min="13003" max="13004" width="9" style="1" customWidth="1"/>
    <col min="13005" max="13006" width="7" style="1" customWidth="1"/>
    <col min="13007" max="13008" width="8.28515625" style="1" customWidth="1"/>
    <col min="13009" max="13018" width="7" style="1" customWidth="1"/>
    <col min="13019" max="13020" width="6.85546875" style="1" customWidth="1"/>
    <col min="13021" max="13022" width="6" style="1" customWidth="1"/>
    <col min="13023" max="13024" width="9.140625" style="1" customWidth="1"/>
    <col min="13025" max="13026" width="6" style="1" customWidth="1"/>
    <col min="13027" max="13028" width="8.140625" style="1" customWidth="1"/>
    <col min="13029" max="13030" width="7" style="1" customWidth="1"/>
    <col min="13031" max="13032" width="6.7109375" style="1" customWidth="1"/>
    <col min="13033" max="13034" width="8.85546875" style="1" customWidth="1"/>
    <col min="13035" max="13036" width="7.5703125" style="1" customWidth="1"/>
    <col min="13037" max="13038" width="7.7109375" style="1" customWidth="1"/>
    <col min="13039" max="13255" width="9.140625" style="1"/>
    <col min="13256" max="13256" width="10.140625" style="1" customWidth="1"/>
    <col min="13257" max="13257" width="17.28515625" style="1" customWidth="1"/>
    <col min="13258" max="13258" width="9.42578125" style="1" customWidth="1"/>
    <col min="13259" max="13260" width="9" style="1" customWidth="1"/>
    <col min="13261" max="13262" width="7" style="1" customWidth="1"/>
    <col min="13263" max="13264" width="8.28515625" style="1" customWidth="1"/>
    <col min="13265" max="13274" width="7" style="1" customWidth="1"/>
    <col min="13275" max="13276" width="6.85546875" style="1" customWidth="1"/>
    <col min="13277" max="13278" width="6" style="1" customWidth="1"/>
    <col min="13279" max="13280" width="9.140625" style="1" customWidth="1"/>
    <col min="13281" max="13282" width="6" style="1" customWidth="1"/>
    <col min="13283" max="13284" width="8.140625" style="1" customWidth="1"/>
    <col min="13285" max="13286" width="7" style="1" customWidth="1"/>
    <col min="13287" max="13288" width="6.7109375" style="1" customWidth="1"/>
    <col min="13289" max="13290" width="8.85546875" style="1" customWidth="1"/>
    <col min="13291" max="13292" width="7.5703125" style="1" customWidth="1"/>
    <col min="13293" max="13294" width="7.7109375" style="1" customWidth="1"/>
    <col min="13295" max="13511" width="9.140625" style="1"/>
    <col min="13512" max="13512" width="10.140625" style="1" customWidth="1"/>
    <col min="13513" max="13513" width="17.28515625" style="1" customWidth="1"/>
    <col min="13514" max="13514" width="9.42578125" style="1" customWidth="1"/>
    <col min="13515" max="13516" width="9" style="1" customWidth="1"/>
    <col min="13517" max="13518" width="7" style="1" customWidth="1"/>
    <col min="13519" max="13520" width="8.28515625" style="1" customWidth="1"/>
    <col min="13521" max="13530" width="7" style="1" customWidth="1"/>
    <col min="13531" max="13532" width="6.85546875" style="1" customWidth="1"/>
    <col min="13533" max="13534" width="6" style="1" customWidth="1"/>
    <col min="13535" max="13536" width="9.140625" style="1" customWidth="1"/>
    <col min="13537" max="13538" width="6" style="1" customWidth="1"/>
    <col min="13539" max="13540" width="8.140625" style="1" customWidth="1"/>
    <col min="13541" max="13542" width="7" style="1" customWidth="1"/>
    <col min="13543" max="13544" width="6.7109375" style="1" customWidth="1"/>
    <col min="13545" max="13546" width="8.85546875" style="1" customWidth="1"/>
    <col min="13547" max="13548" width="7.5703125" style="1" customWidth="1"/>
    <col min="13549" max="13550" width="7.7109375" style="1" customWidth="1"/>
    <col min="13551" max="13767" width="9.140625" style="1"/>
    <col min="13768" max="13768" width="10.140625" style="1" customWidth="1"/>
    <col min="13769" max="13769" width="17.28515625" style="1" customWidth="1"/>
    <col min="13770" max="13770" width="9.42578125" style="1" customWidth="1"/>
    <col min="13771" max="13772" width="9" style="1" customWidth="1"/>
    <col min="13773" max="13774" width="7" style="1" customWidth="1"/>
    <col min="13775" max="13776" width="8.28515625" style="1" customWidth="1"/>
    <col min="13777" max="13786" width="7" style="1" customWidth="1"/>
    <col min="13787" max="13788" width="6.85546875" style="1" customWidth="1"/>
    <col min="13789" max="13790" width="6" style="1" customWidth="1"/>
    <col min="13791" max="13792" width="9.140625" style="1" customWidth="1"/>
    <col min="13793" max="13794" width="6" style="1" customWidth="1"/>
    <col min="13795" max="13796" width="8.140625" style="1" customWidth="1"/>
    <col min="13797" max="13798" width="7" style="1" customWidth="1"/>
    <col min="13799" max="13800" width="6.7109375" style="1" customWidth="1"/>
    <col min="13801" max="13802" width="8.85546875" style="1" customWidth="1"/>
    <col min="13803" max="13804" width="7.5703125" style="1" customWidth="1"/>
    <col min="13805" max="13806" width="7.7109375" style="1" customWidth="1"/>
    <col min="13807" max="14023" width="9.140625" style="1"/>
    <col min="14024" max="14024" width="10.140625" style="1" customWidth="1"/>
    <col min="14025" max="14025" width="17.28515625" style="1" customWidth="1"/>
    <col min="14026" max="14026" width="9.42578125" style="1" customWidth="1"/>
    <col min="14027" max="14028" width="9" style="1" customWidth="1"/>
    <col min="14029" max="14030" width="7" style="1" customWidth="1"/>
    <col min="14031" max="14032" width="8.28515625" style="1" customWidth="1"/>
    <col min="14033" max="14042" width="7" style="1" customWidth="1"/>
    <col min="14043" max="14044" width="6.85546875" style="1" customWidth="1"/>
    <col min="14045" max="14046" width="6" style="1" customWidth="1"/>
    <col min="14047" max="14048" width="9.140625" style="1" customWidth="1"/>
    <col min="14049" max="14050" width="6" style="1" customWidth="1"/>
    <col min="14051" max="14052" width="8.140625" style="1" customWidth="1"/>
    <col min="14053" max="14054" width="7" style="1" customWidth="1"/>
    <col min="14055" max="14056" width="6.7109375" style="1" customWidth="1"/>
    <col min="14057" max="14058" width="8.85546875" style="1" customWidth="1"/>
    <col min="14059" max="14060" width="7.5703125" style="1" customWidth="1"/>
    <col min="14061" max="14062" width="7.7109375" style="1" customWidth="1"/>
    <col min="14063" max="14279" width="9.140625" style="1"/>
    <col min="14280" max="14280" width="10.140625" style="1" customWidth="1"/>
    <col min="14281" max="14281" width="17.28515625" style="1" customWidth="1"/>
    <col min="14282" max="14282" width="9.42578125" style="1" customWidth="1"/>
    <col min="14283" max="14284" width="9" style="1" customWidth="1"/>
    <col min="14285" max="14286" width="7" style="1" customWidth="1"/>
    <col min="14287" max="14288" width="8.28515625" style="1" customWidth="1"/>
    <col min="14289" max="14298" width="7" style="1" customWidth="1"/>
    <col min="14299" max="14300" width="6.85546875" style="1" customWidth="1"/>
    <col min="14301" max="14302" width="6" style="1" customWidth="1"/>
    <col min="14303" max="14304" width="9.140625" style="1" customWidth="1"/>
    <col min="14305" max="14306" width="6" style="1" customWidth="1"/>
    <col min="14307" max="14308" width="8.140625" style="1" customWidth="1"/>
    <col min="14309" max="14310" width="7" style="1" customWidth="1"/>
    <col min="14311" max="14312" width="6.7109375" style="1" customWidth="1"/>
    <col min="14313" max="14314" width="8.85546875" style="1" customWidth="1"/>
    <col min="14315" max="14316" width="7.5703125" style="1" customWidth="1"/>
    <col min="14317" max="14318" width="7.7109375" style="1" customWidth="1"/>
    <col min="14319" max="14535" width="9.140625" style="1"/>
    <col min="14536" max="14536" width="10.140625" style="1" customWidth="1"/>
    <col min="14537" max="14537" width="17.28515625" style="1" customWidth="1"/>
    <col min="14538" max="14538" width="9.42578125" style="1" customWidth="1"/>
    <col min="14539" max="14540" width="9" style="1" customWidth="1"/>
    <col min="14541" max="14542" width="7" style="1" customWidth="1"/>
    <col min="14543" max="14544" width="8.28515625" style="1" customWidth="1"/>
    <col min="14545" max="14554" width="7" style="1" customWidth="1"/>
    <col min="14555" max="14556" width="6.85546875" style="1" customWidth="1"/>
    <col min="14557" max="14558" width="6" style="1" customWidth="1"/>
    <col min="14559" max="14560" width="9.140625" style="1" customWidth="1"/>
    <col min="14561" max="14562" width="6" style="1" customWidth="1"/>
    <col min="14563" max="14564" width="8.140625" style="1" customWidth="1"/>
    <col min="14565" max="14566" width="7" style="1" customWidth="1"/>
    <col min="14567" max="14568" width="6.7109375" style="1" customWidth="1"/>
    <col min="14569" max="14570" width="8.85546875" style="1" customWidth="1"/>
    <col min="14571" max="14572" width="7.5703125" style="1" customWidth="1"/>
    <col min="14573" max="14574" width="7.7109375" style="1" customWidth="1"/>
    <col min="14575" max="14791" width="9.140625" style="1"/>
    <col min="14792" max="14792" width="10.140625" style="1" customWidth="1"/>
    <col min="14793" max="14793" width="17.28515625" style="1" customWidth="1"/>
    <col min="14794" max="14794" width="9.42578125" style="1" customWidth="1"/>
    <col min="14795" max="14796" width="9" style="1" customWidth="1"/>
    <col min="14797" max="14798" width="7" style="1" customWidth="1"/>
    <col min="14799" max="14800" width="8.28515625" style="1" customWidth="1"/>
    <col min="14801" max="14810" width="7" style="1" customWidth="1"/>
    <col min="14811" max="14812" width="6.85546875" style="1" customWidth="1"/>
    <col min="14813" max="14814" width="6" style="1" customWidth="1"/>
    <col min="14815" max="14816" width="9.140625" style="1" customWidth="1"/>
    <col min="14817" max="14818" width="6" style="1" customWidth="1"/>
    <col min="14819" max="14820" width="8.140625" style="1" customWidth="1"/>
    <col min="14821" max="14822" width="7" style="1" customWidth="1"/>
    <col min="14823" max="14824" width="6.7109375" style="1" customWidth="1"/>
    <col min="14825" max="14826" width="8.85546875" style="1" customWidth="1"/>
    <col min="14827" max="14828" width="7.5703125" style="1" customWidth="1"/>
    <col min="14829" max="14830" width="7.7109375" style="1" customWidth="1"/>
    <col min="14831" max="15047" width="9.140625" style="1"/>
    <col min="15048" max="15048" width="10.140625" style="1" customWidth="1"/>
    <col min="15049" max="15049" width="17.28515625" style="1" customWidth="1"/>
    <col min="15050" max="15050" width="9.42578125" style="1" customWidth="1"/>
    <col min="15051" max="15052" width="9" style="1" customWidth="1"/>
    <col min="15053" max="15054" width="7" style="1" customWidth="1"/>
    <col min="15055" max="15056" width="8.28515625" style="1" customWidth="1"/>
    <col min="15057" max="15066" width="7" style="1" customWidth="1"/>
    <col min="15067" max="15068" width="6.85546875" style="1" customWidth="1"/>
    <col min="15069" max="15070" width="6" style="1" customWidth="1"/>
    <col min="15071" max="15072" width="9.140625" style="1" customWidth="1"/>
    <col min="15073" max="15074" width="6" style="1" customWidth="1"/>
    <col min="15075" max="15076" width="8.140625" style="1" customWidth="1"/>
    <col min="15077" max="15078" width="7" style="1" customWidth="1"/>
    <col min="15079" max="15080" width="6.7109375" style="1" customWidth="1"/>
    <col min="15081" max="15082" width="8.85546875" style="1" customWidth="1"/>
    <col min="15083" max="15084" width="7.5703125" style="1" customWidth="1"/>
    <col min="15085" max="15086" width="7.7109375" style="1" customWidth="1"/>
    <col min="15087" max="15303" width="9.140625" style="1"/>
    <col min="15304" max="15304" width="10.140625" style="1" customWidth="1"/>
    <col min="15305" max="15305" width="17.28515625" style="1" customWidth="1"/>
    <col min="15306" max="15306" width="9.42578125" style="1" customWidth="1"/>
    <col min="15307" max="15308" width="9" style="1" customWidth="1"/>
    <col min="15309" max="15310" width="7" style="1" customWidth="1"/>
    <col min="15311" max="15312" width="8.28515625" style="1" customWidth="1"/>
    <col min="15313" max="15322" width="7" style="1" customWidth="1"/>
    <col min="15323" max="15324" width="6.85546875" style="1" customWidth="1"/>
    <col min="15325" max="15326" width="6" style="1" customWidth="1"/>
    <col min="15327" max="15328" width="9.140625" style="1" customWidth="1"/>
    <col min="15329" max="15330" width="6" style="1" customWidth="1"/>
    <col min="15331" max="15332" width="8.140625" style="1" customWidth="1"/>
    <col min="15333" max="15334" width="7" style="1" customWidth="1"/>
    <col min="15335" max="15336" width="6.7109375" style="1" customWidth="1"/>
    <col min="15337" max="15338" width="8.85546875" style="1" customWidth="1"/>
    <col min="15339" max="15340" width="7.5703125" style="1" customWidth="1"/>
    <col min="15341" max="15342" width="7.7109375" style="1" customWidth="1"/>
    <col min="15343" max="15559" width="9.140625" style="1"/>
    <col min="15560" max="15560" width="10.140625" style="1" customWidth="1"/>
    <col min="15561" max="15561" width="17.28515625" style="1" customWidth="1"/>
    <col min="15562" max="15562" width="9.42578125" style="1" customWidth="1"/>
    <col min="15563" max="15564" width="9" style="1" customWidth="1"/>
    <col min="15565" max="15566" width="7" style="1" customWidth="1"/>
    <col min="15567" max="15568" width="8.28515625" style="1" customWidth="1"/>
    <col min="15569" max="15578" width="7" style="1" customWidth="1"/>
    <col min="15579" max="15580" width="6.85546875" style="1" customWidth="1"/>
    <col min="15581" max="15582" width="6" style="1" customWidth="1"/>
    <col min="15583" max="15584" width="9.140625" style="1" customWidth="1"/>
    <col min="15585" max="15586" width="6" style="1" customWidth="1"/>
    <col min="15587" max="15588" width="8.140625" style="1" customWidth="1"/>
    <col min="15589" max="15590" width="7" style="1" customWidth="1"/>
    <col min="15591" max="15592" width="6.7109375" style="1" customWidth="1"/>
    <col min="15593" max="15594" width="8.85546875" style="1" customWidth="1"/>
    <col min="15595" max="15596" width="7.5703125" style="1" customWidth="1"/>
    <col min="15597" max="15598" width="7.7109375" style="1" customWidth="1"/>
    <col min="15599" max="15815" width="9.140625" style="1"/>
    <col min="15816" max="15816" width="10.140625" style="1" customWidth="1"/>
    <col min="15817" max="15817" width="17.28515625" style="1" customWidth="1"/>
    <col min="15818" max="15818" width="9.42578125" style="1" customWidth="1"/>
    <col min="15819" max="15820" width="9" style="1" customWidth="1"/>
    <col min="15821" max="15822" width="7" style="1" customWidth="1"/>
    <col min="15823" max="15824" width="8.28515625" style="1" customWidth="1"/>
    <col min="15825" max="15834" width="7" style="1" customWidth="1"/>
    <col min="15835" max="15836" width="6.85546875" style="1" customWidth="1"/>
    <col min="15837" max="15838" width="6" style="1" customWidth="1"/>
    <col min="15839" max="15840" width="9.140625" style="1" customWidth="1"/>
    <col min="15841" max="15842" width="6" style="1" customWidth="1"/>
    <col min="15843" max="15844" width="8.140625" style="1" customWidth="1"/>
    <col min="15845" max="15846" width="7" style="1" customWidth="1"/>
    <col min="15847" max="15848" width="6.7109375" style="1" customWidth="1"/>
    <col min="15849" max="15850" width="8.85546875" style="1" customWidth="1"/>
    <col min="15851" max="15852" width="7.5703125" style="1" customWidth="1"/>
    <col min="15853" max="15854" width="7.7109375" style="1" customWidth="1"/>
    <col min="15855" max="16071" width="9.140625" style="1"/>
    <col min="16072" max="16072" width="10.140625" style="1" customWidth="1"/>
    <col min="16073" max="16073" width="17.28515625" style="1" customWidth="1"/>
    <col min="16074" max="16074" width="9.42578125" style="1" customWidth="1"/>
    <col min="16075" max="16076" width="9" style="1" customWidth="1"/>
    <col min="16077" max="16078" width="7" style="1" customWidth="1"/>
    <col min="16079" max="16080" width="8.28515625" style="1" customWidth="1"/>
    <col min="16081" max="16090" width="7" style="1" customWidth="1"/>
    <col min="16091" max="16092" width="6.85546875" style="1" customWidth="1"/>
    <col min="16093" max="16094" width="6" style="1" customWidth="1"/>
    <col min="16095" max="16096" width="9.140625" style="1" customWidth="1"/>
    <col min="16097" max="16098" width="6" style="1" customWidth="1"/>
    <col min="16099" max="16100" width="8.140625" style="1" customWidth="1"/>
    <col min="16101" max="16102" width="7" style="1" customWidth="1"/>
    <col min="16103" max="16104" width="6.7109375" style="1" customWidth="1"/>
    <col min="16105" max="16106" width="8.85546875" style="1" customWidth="1"/>
    <col min="16107" max="16108" width="7.5703125" style="1" customWidth="1"/>
    <col min="16109" max="16110" width="7.7109375" style="1" customWidth="1"/>
    <col min="16111" max="16384" width="9.140625" style="1"/>
  </cols>
  <sheetData>
    <row r="4" spans="1:14" x14ac:dyDescent="0.25">
      <c r="A4" s="149"/>
      <c r="B4" s="149" t="s">
        <v>3</v>
      </c>
      <c r="C4" s="149"/>
      <c r="E4" s="149"/>
      <c r="F4" s="149"/>
      <c r="G4" s="149"/>
    </row>
    <row r="5" spans="1:14" x14ac:dyDescent="0.25">
      <c r="A5" s="149"/>
      <c r="B5" s="2" t="s">
        <v>5</v>
      </c>
      <c r="C5" s="149"/>
      <c r="E5" s="149"/>
      <c r="F5" s="149"/>
      <c r="G5" s="149"/>
    </row>
    <row r="6" spans="1:14" ht="129" customHeight="1" x14ac:dyDescent="0.25">
      <c r="A6" s="64" t="s">
        <v>6</v>
      </c>
      <c r="B6" s="64" t="s">
        <v>7</v>
      </c>
      <c r="C6" s="65" t="s">
        <v>8</v>
      </c>
      <c r="D6" s="152" t="s">
        <v>10</v>
      </c>
      <c r="E6" s="149"/>
      <c r="F6" s="133">
        <v>0.02</v>
      </c>
      <c r="G6" s="133">
        <v>0.25</v>
      </c>
    </row>
    <row r="7" spans="1:14" x14ac:dyDescent="0.25">
      <c r="A7" s="66"/>
      <c r="B7" s="67" t="s">
        <v>8</v>
      </c>
      <c r="C7" s="68"/>
      <c r="D7" s="46">
        <v>1000</v>
      </c>
      <c r="E7" s="149"/>
      <c r="F7" s="149"/>
      <c r="G7" s="149"/>
    </row>
    <row r="8" spans="1:14" x14ac:dyDescent="0.25">
      <c r="A8" s="4" t="s">
        <v>55</v>
      </c>
      <c r="B8" s="4" t="s">
        <v>56</v>
      </c>
      <c r="C8" s="5" t="s">
        <v>57</v>
      </c>
      <c r="D8" s="153">
        <v>48586</v>
      </c>
      <c r="E8" s="149"/>
      <c r="F8" s="149">
        <v>972</v>
      </c>
      <c r="G8" s="149">
        <v>1012</v>
      </c>
      <c r="N8" s="1">
        <f>G8+F8</f>
        <v>1984</v>
      </c>
    </row>
    <row r="9" spans="1:14" x14ac:dyDescent="0.25">
      <c r="A9" s="4" t="s">
        <v>55</v>
      </c>
      <c r="B9" s="4" t="s">
        <v>59</v>
      </c>
      <c r="C9" s="5" t="s">
        <v>60</v>
      </c>
      <c r="D9" s="153"/>
      <c r="E9" s="149"/>
      <c r="F9" s="149"/>
      <c r="G9" s="149"/>
      <c r="N9" s="149">
        <f t="shared" ref="N9:N72" si="0">G9+F9</f>
        <v>0</v>
      </c>
    </row>
    <row r="10" spans="1:14" ht="26.25" x14ac:dyDescent="0.25">
      <c r="A10" s="4" t="s">
        <v>55</v>
      </c>
      <c r="B10" s="4" t="s">
        <v>62</v>
      </c>
      <c r="C10" s="5" t="s">
        <v>60</v>
      </c>
      <c r="D10" s="153"/>
      <c r="E10" s="149"/>
      <c r="F10" s="149"/>
      <c r="G10" s="149"/>
      <c r="N10" s="149">
        <f t="shared" si="0"/>
        <v>0</v>
      </c>
    </row>
    <row r="11" spans="1:14" x14ac:dyDescent="0.25">
      <c r="A11" s="4" t="s">
        <v>55</v>
      </c>
      <c r="B11" s="4" t="s">
        <v>64</v>
      </c>
      <c r="C11" s="5" t="s">
        <v>60</v>
      </c>
      <c r="D11" s="153"/>
      <c r="E11" s="149"/>
      <c r="F11" s="149"/>
      <c r="G11" s="149"/>
      <c r="N11" s="149">
        <f t="shared" si="0"/>
        <v>0</v>
      </c>
    </row>
    <row r="12" spans="1:14" ht="26.25" x14ac:dyDescent="0.25">
      <c r="A12" s="4" t="s">
        <v>55</v>
      </c>
      <c r="B12" s="4" t="s">
        <v>65</v>
      </c>
      <c r="C12" s="5" t="s">
        <v>60</v>
      </c>
      <c r="D12" s="153">
        <v>131104</v>
      </c>
      <c r="E12" s="149"/>
      <c r="F12" s="149">
        <v>2622</v>
      </c>
      <c r="G12" s="149">
        <v>2731</v>
      </c>
      <c r="N12" s="149">
        <f t="shared" si="0"/>
        <v>5353</v>
      </c>
    </row>
    <row r="13" spans="1:14" x14ac:dyDescent="0.25">
      <c r="A13" s="4" t="s">
        <v>55</v>
      </c>
      <c r="B13" s="4" t="s">
        <v>66</v>
      </c>
      <c r="C13" s="5" t="s">
        <v>67</v>
      </c>
      <c r="D13" s="153">
        <v>13526</v>
      </c>
      <c r="E13" s="149"/>
      <c r="F13" s="149">
        <v>271</v>
      </c>
      <c r="G13" s="149">
        <v>282</v>
      </c>
      <c r="N13" s="149">
        <f t="shared" si="0"/>
        <v>553</v>
      </c>
    </row>
    <row r="14" spans="1:14" x14ac:dyDescent="0.25">
      <c r="A14" s="4" t="s">
        <v>55</v>
      </c>
      <c r="B14" s="4" t="s">
        <v>69</v>
      </c>
      <c r="C14" s="5" t="s">
        <v>70</v>
      </c>
      <c r="D14" s="153">
        <v>7890</v>
      </c>
      <c r="E14" s="149"/>
      <c r="F14" s="149">
        <v>158</v>
      </c>
      <c r="G14" s="149">
        <v>164</v>
      </c>
      <c r="N14" s="149">
        <f t="shared" si="0"/>
        <v>322</v>
      </c>
    </row>
    <row r="15" spans="1:14" x14ac:dyDescent="0.25">
      <c r="A15" s="66" t="s">
        <v>55</v>
      </c>
      <c r="B15" s="66" t="s">
        <v>72</v>
      </c>
      <c r="C15" s="68" t="s">
        <v>73</v>
      </c>
      <c r="D15" s="153">
        <v>6259</v>
      </c>
      <c r="E15" s="149"/>
      <c r="F15" s="149">
        <v>125</v>
      </c>
      <c r="G15" s="149">
        <v>130</v>
      </c>
      <c r="N15" s="149">
        <f t="shared" si="0"/>
        <v>255</v>
      </c>
    </row>
    <row r="16" spans="1:14" x14ac:dyDescent="0.25">
      <c r="A16" s="66" t="s">
        <v>55</v>
      </c>
      <c r="B16" s="66" t="s">
        <v>75</v>
      </c>
      <c r="C16" s="68" t="s">
        <v>73</v>
      </c>
      <c r="D16" s="153">
        <v>9269</v>
      </c>
      <c r="E16" s="149"/>
      <c r="F16" s="149">
        <v>185</v>
      </c>
      <c r="G16" s="149">
        <v>193</v>
      </c>
      <c r="N16" s="149">
        <f t="shared" si="0"/>
        <v>378</v>
      </c>
    </row>
    <row r="17" spans="1:14" x14ac:dyDescent="0.25">
      <c r="A17" s="66" t="s">
        <v>55</v>
      </c>
      <c r="B17" s="66" t="s">
        <v>76</v>
      </c>
      <c r="C17" s="68" t="s">
        <v>73</v>
      </c>
      <c r="D17" s="153">
        <v>5013</v>
      </c>
      <c r="E17" s="149"/>
      <c r="F17" s="149">
        <v>100</v>
      </c>
      <c r="G17" s="149">
        <v>104</v>
      </c>
      <c r="N17" s="149">
        <f t="shared" si="0"/>
        <v>204</v>
      </c>
    </row>
    <row r="18" spans="1:14" x14ac:dyDescent="0.25">
      <c r="A18" s="4" t="s">
        <v>55</v>
      </c>
      <c r="B18" s="4" t="s">
        <v>77</v>
      </c>
      <c r="C18" s="5" t="s">
        <v>73</v>
      </c>
      <c r="D18" s="153">
        <v>20793</v>
      </c>
      <c r="E18" s="149"/>
      <c r="F18" s="149">
        <v>416</v>
      </c>
      <c r="G18" s="149">
        <v>433</v>
      </c>
      <c r="N18" s="149">
        <f t="shared" si="0"/>
        <v>849</v>
      </c>
    </row>
    <row r="19" spans="1:14" x14ac:dyDescent="0.25">
      <c r="A19" s="4" t="s">
        <v>55</v>
      </c>
      <c r="B19" s="4" t="s">
        <v>78</v>
      </c>
      <c r="C19" s="5" t="s">
        <v>79</v>
      </c>
      <c r="D19" s="153">
        <v>7178</v>
      </c>
      <c r="E19" s="149"/>
      <c r="F19" s="149">
        <v>144</v>
      </c>
      <c r="G19" s="149">
        <v>150</v>
      </c>
      <c r="N19" s="149">
        <f t="shared" si="0"/>
        <v>294</v>
      </c>
    </row>
    <row r="20" spans="1:14" x14ac:dyDescent="0.25">
      <c r="A20" s="4" t="s">
        <v>55</v>
      </c>
      <c r="B20" s="4" t="s">
        <v>81</v>
      </c>
      <c r="C20" s="5" t="s">
        <v>82</v>
      </c>
      <c r="D20" s="153">
        <v>22098</v>
      </c>
      <c r="E20" s="149"/>
      <c r="F20" s="149">
        <v>442</v>
      </c>
      <c r="G20" s="149">
        <v>460</v>
      </c>
      <c r="N20" s="149">
        <f t="shared" si="0"/>
        <v>902</v>
      </c>
    </row>
    <row r="21" spans="1:14" ht="26.25" x14ac:dyDescent="0.25">
      <c r="A21" s="4" t="s">
        <v>55</v>
      </c>
      <c r="B21" s="4" t="s">
        <v>83</v>
      </c>
      <c r="C21" s="5" t="s">
        <v>82</v>
      </c>
      <c r="D21" s="153">
        <v>30828</v>
      </c>
      <c r="E21" s="149"/>
      <c r="F21" s="149">
        <v>925</v>
      </c>
      <c r="G21" s="149"/>
      <c r="N21" s="149">
        <f t="shared" si="0"/>
        <v>925</v>
      </c>
    </row>
    <row r="22" spans="1:14" ht="26.25" x14ac:dyDescent="0.25">
      <c r="A22" s="4" t="s">
        <v>55</v>
      </c>
      <c r="B22" s="4" t="s">
        <v>84</v>
      </c>
      <c r="C22" s="5" t="s">
        <v>82</v>
      </c>
      <c r="D22" s="153">
        <v>11240</v>
      </c>
      <c r="E22" s="149"/>
      <c r="F22" s="149"/>
      <c r="G22" s="149"/>
      <c r="N22" s="149">
        <f t="shared" si="0"/>
        <v>0</v>
      </c>
    </row>
    <row r="23" spans="1:14" x14ac:dyDescent="0.25">
      <c r="A23" s="4" t="s">
        <v>55</v>
      </c>
      <c r="B23" s="4" t="s">
        <v>85</v>
      </c>
      <c r="C23" s="5" t="s">
        <v>86</v>
      </c>
      <c r="D23" s="153">
        <v>39316</v>
      </c>
      <c r="E23" s="149"/>
      <c r="F23" s="149">
        <v>786</v>
      </c>
      <c r="G23" s="149">
        <v>819</v>
      </c>
      <c r="N23" s="149">
        <f t="shared" si="0"/>
        <v>1605</v>
      </c>
    </row>
    <row r="24" spans="1:14" ht="26.25" x14ac:dyDescent="0.25">
      <c r="A24" s="4" t="s">
        <v>55</v>
      </c>
      <c r="B24" s="4" t="s">
        <v>87</v>
      </c>
      <c r="C24" s="5" t="s">
        <v>86</v>
      </c>
      <c r="D24" s="153">
        <v>15295</v>
      </c>
      <c r="E24" s="149"/>
      <c r="F24" s="149">
        <v>412</v>
      </c>
      <c r="G24" s="149"/>
      <c r="N24" s="149">
        <f t="shared" si="0"/>
        <v>412</v>
      </c>
    </row>
    <row r="25" spans="1:14" ht="26.25" x14ac:dyDescent="0.25">
      <c r="A25" s="4" t="s">
        <v>55</v>
      </c>
      <c r="B25" s="4" t="s">
        <v>88</v>
      </c>
      <c r="C25" s="5" t="s">
        <v>86</v>
      </c>
      <c r="D25" s="153"/>
      <c r="E25" s="149"/>
      <c r="F25" s="149"/>
      <c r="G25" s="149"/>
      <c r="N25" s="149">
        <f t="shared" si="0"/>
        <v>0</v>
      </c>
    </row>
    <row r="26" spans="1:14" ht="26.25" x14ac:dyDescent="0.25">
      <c r="A26" s="4" t="s">
        <v>55</v>
      </c>
      <c r="B26" s="4" t="s">
        <v>89</v>
      </c>
      <c r="C26" s="5" t="s">
        <v>86</v>
      </c>
      <c r="D26" s="153"/>
      <c r="E26" s="149"/>
      <c r="F26" s="149"/>
      <c r="G26" s="149"/>
      <c r="N26" s="149">
        <f t="shared" si="0"/>
        <v>0</v>
      </c>
    </row>
    <row r="27" spans="1:14" x14ac:dyDescent="0.25">
      <c r="A27" s="4" t="s">
        <v>55</v>
      </c>
      <c r="B27" s="4" t="s">
        <v>90</v>
      </c>
      <c r="C27" s="5" t="s">
        <v>86</v>
      </c>
      <c r="D27" s="153"/>
      <c r="E27" s="149"/>
      <c r="F27" s="149"/>
      <c r="G27" s="149"/>
      <c r="N27" s="149">
        <f t="shared" si="0"/>
        <v>0</v>
      </c>
    </row>
    <row r="28" spans="1:14" x14ac:dyDescent="0.25">
      <c r="A28" s="4" t="s">
        <v>55</v>
      </c>
      <c r="B28" s="4" t="s">
        <v>91</v>
      </c>
      <c r="C28" s="5" t="s">
        <v>86</v>
      </c>
      <c r="D28" s="153">
        <v>73280</v>
      </c>
      <c r="E28" s="149"/>
      <c r="F28" s="149"/>
      <c r="G28" s="149"/>
      <c r="N28" s="149">
        <f t="shared" si="0"/>
        <v>0</v>
      </c>
    </row>
    <row r="29" spans="1:14" ht="26.25" x14ac:dyDescent="0.25">
      <c r="A29" s="4" t="s">
        <v>55</v>
      </c>
      <c r="B29" s="4" t="s">
        <v>92</v>
      </c>
      <c r="C29" s="5" t="s">
        <v>93</v>
      </c>
      <c r="D29" s="153">
        <v>3460</v>
      </c>
      <c r="E29" s="149"/>
      <c r="F29" s="149"/>
      <c r="G29" s="149"/>
      <c r="N29" s="149">
        <f t="shared" si="0"/>
        <v>0</v>
      </c>
    </row>
    <row r="30" spans="1:14" ht="28.5" customHeight="1" x14ac:dyDescent="0.25">
      <c r="A30" s="4" t="s">
        <v>55</v>
      </c>
      <c r="B30" s="4" t="s">
        <v>95</v>
      </c>
      <c r="C30" s="5" t="s">
        <v>96</v>
      </c>
      <c r="D30" s="153"/>
      <c r="E30" s="149"/>
      <c r="F30" s="149"/>
      <c r="G30" s="149"/>
      <c r="N30" s="149">
        <f t="shared" si="0"/>
        <v>0</v>
      </c>
    </row>
    <row r="31" spans="1:14" x14ac:dyDescent="0.25">
      <c r="A31" s="4" t="s">
        <v>55</v>
      </c>
      <c r="B31" s="4" t="s">
        <v>97</v>
      </c>
      <c r="C31" s="5" t="s">
        <v>96</v>
      </c>
      <c r="D31" s="153"/>
      <c r="E31" s="149"/>
      <c r="F31" s="149"/>
      <c r="G31" s="149"/>
      <c r="N31" s="149">
        <f t="shared" si="0"/>
        <v>0</v>
      </c>
    </row>
    <row r="32" spans="1:14" x14ac:dyDescent="0.25">
      <c r="A32" s="4" t="s">
        <v>55</v>
      </c>
      <c r="B32" s="4" t="s">
        <v>98</v>
      </c>
      <c r="C32" s="5" t="s">
        <v>99</v>
      </c>
      <c r="D32" s="153"/>
      <c r="E32" s="149"/>
      <c r="F32" s="149"/>
      <c r="G32" s="149"/>
      <c r="N32" s="149">
        <f t="shared" si="0"/>
        <v>0</v>
      </c>
    </row>
    <row r="33" spans="1:14" x14ac:dyDescent="0.25">
      <c r="A33" s="4" t="s">
        <v>55</v>
      </c>
      <c r="B33" s="4" t="s">
        <v>100</v>
      </c>
      <c r="C33" s="5" t="s">
        <v>101</v>
      </c>
      <c r="D33" s="153"/>
      <c r="E33" s="149"/>
      <c r="F33" s="149"/>
      <c r="G33" s="149"/>
      <c r="N33" s="149">
        <f t="shared" si="0"/>
        <v>0</v>
      </c>
    </row>
    <row r="34" spans="1:14" x14ac:dyDescent="0.25">
      <c r="A34" s="4" t="s">
        <v>55</v>
      </c>
      <c r="B34" s="4" t="s">
        <v>103</v>
      </c>
      <c r="C34" s="5" t="s">
        <v>104</v>
      </c>
      <c r="D34" s="153"/>
      <c r="E34" s="149"/>
      <c r="F34" s="149"/>
      <c r="G34" s="149"/>
      <c r="N34" s="149">
        <f t="shared" si="0"/>
        <v>0</v>
      </c>
    </row>
    <row r="35" spans="1:14" x14ac:dyDescent="0.25">
      <c r="A35" s="4" t="s">
        <v>55</v>
      </c>
      <c r="B35" s="4" t="s">
        <v>105</v>
      </c>
      <c r="C35" s="5"/>
      <c r="D35" s="153">
        <v>7558</v>
      </c>
      <c r="E35" s="149"/>
      <c r="F35" s="149"/>
      <c r="G35" s="149"/>
      <c r="N35" s="149">
        <f t="shared" si="0"/>
        <v>0</v>
      </c>
    </row>
    <row r="36" spans="1:14" x14ac:dyDescent="0.25">
      <c r="A36" s="4" t="s">
        <v>55</v>
      </c>
      <c r="B36" s="4" t="s">
        <v>106</v>
      </c>
      <c r="C36" s="5"/>
      <c r="D36" s="153">
        <v>6478</v>
      </c>
      <c r="E36" s="149"/>
      <c r="F36" s="149"/>
      <c r="G36" s="149"/>
      <c r="N36" s="149">
        <f t="shared" si="0"/>
        <v>0</v>
      </c>
    </row>
    <row r="37" spans="1:14" x14ac:dyDescent="0.25">
      <c r="A37" s="16" t="s">
        <v>107</v>
      </c>
      <c r="B37" s="16" t="s">
        <v>108</v>
      </c>
      <c r="C37" s="17"/>
      <c r="D37" s="105">
        <f t="shared" ref="D37:G37" si="1">SUM(D8:D36)</f>
        <v>459171</v>
      </c>
      <c r="E37" s="149"/>
      <c r="F37" s="36">
        <f t="shared" si="1"/>
        <v>7558</v>
      </c>
      <c r="G37" s="36">
        <f t="shared" si="1"/>
        <v>6478</v>
      </c>
      <c r="N37" s="149">
        <f t="shared" si="0"/>
        <v>14036</v>
      </c>
    </row>
    <row r="38" spans="1:14" x14ac:dyDescent="0.25">
      <c r="A38" s="4" t="s">
        <v>109</v>
      </c>
      <c r="B38" s="4" t="s">
        <v>56</v>
      </c>
      <c r="C38" s="5" t="s">
        <v>57</v>
      </c>
      <c r="D38" s="153">
        <v>25939</v>
      </c>
      <c r="E38" s="149"/>
      <c r="F38" s="149">
        <v>519</v>
      </c>
      <c r="G38" s="149">
        <v>540</v>
      </c>
      <c r="N38" s="149">
        <f t="shared" si="0"/>
        <v>1059</v>
      </c>
    </row>
    <row r="39" spans="1:14" x14ac:dyDescent="0.25">
      <c r="A39" s="4" t="s">
        <v>109</v>
      </c>
      <c r="B39" s="4" t="s">
        <v>98</v>
      </c>
      <c r="C39" s="5" t="s">
        <v>99</v>
      </c>
      <c r="D39" s="153"/>
      <c r="E39" s="149"/>
      <c r="F39" s="149"/>
      <c r="G39" s="149"/>
      <c r="N39" s="149">
        <f t="shared" si="0"/>
        <v>0</v>
      </c>
    </row>
    <row r="40" spans="1:14" x14ac:dyDescent="0.25">
      <c r="A40" s="4" t="s">
        <v>109</v>
      </c>
      <c r="B40" s="4" t="s">
        <v>110</v>
      </c>
      <c r="C40" s="5" t="s">
        <v>104</v>
      </c>
      <c r="D40" s="153"/>
      <c r="E40" s="149"/>
      <c r="F40" s="149"/>
      <c r="G40" s="149"/>
      <c r="N40" s="149">
        <f t="shared" si="0"/>
        <v>0</v>
      </c>
    </row>
    <row r="41" spans="1:14" ht="26.25" x14ac:dyDescent="0.25">
      <c r="A41" s="4" t="s">
        <v>109</v>
      </c>
      <c r="B41" s="4" t="s">
        <v>65</v>
      </c>
      <c r="C41" s="5" t="s">
        <v>60</v>
      </c>
      <c r="D41" s="153">
        <v>140907</v>
      </c>
      <c r="E41" s="149"/>
      <c r="F41" s="149">
        <v>2819</v>
      </c>
      <c r="G41" s="149">
        <v>2936</v>
      </c>
      <c r="N41" s="149">
        <f t="shared" si="0"/>
        <v>5755</v>
      </c>
    </row>
    <row r="42" spans="1:14" ht="26.25" x14ac:dyDescent="0.25">
      <c r="A42" s="4" t="s">
        <v>109</v>
      </c>
      <c r="B42" s="4" t="s">
        <v>62</v>
      </c>
      <c r="C42" s="5" t="s">
        <v>60</v>
      </c>
      <c r="D42" s="153"/>
      <c r="E42" s="149"/>
      <c r="F42" s="149"/>
      <c r="G42" s="149"/>
      <c r="N42" s="149">
        <f t="shared" si="0"/>
        <v>0</v>
      </c>
    </row>
    <row r="43" spans="1:14" x14ac:dyDescent="0.25">
      <c r="A43" s="4" t="s">
        <v>109</v>
      </c>
      <c r="B43" s="4" t="s">
        <v>64</v>
      </c>
      <c r="C43" s="5" t="s">
        <v>60</v>
      </c>
      <c r="D43" s="153"/>
      <c r="E43" s="149"/>
      <c r="F43" s="149"/>
      <c r="G43" s="149"/>
      <c r="N43" s="149">
        <f t="shared" si="0"/>
        <v>0</v>
      </c>
    </row>
    <row r="44" spans="1:14" x14ac:dyDescent="0.25">
      <c r="A44" s="4" t="s">
        <v>109</v>
      </c>
      <c r="B44" s="4" t="s">
        <v>112</v>
      </c>
      <c r="C44" s="5" t="s">
        <v>67</v>
      </c>
      <c r="D44" s="153"/>
      <c r="E44" s="149"/>
      <c r="F44" s="149"/>
      <c r="G44" s="149"/>
      <c r="N44" s="149">
        <f t="shared" si="0"/>
        <v>0</v>
      </c>
    </row>
    <row r="45" spans="1:14" x14ac:dyDescent="0.25">
      <c r="A45" s="4" t="s">
        <v>109</v>
      </c>
      <c r="B45" s="4" t="s">
        <v>77</v>
      </c>
      <c r="C45" s="5" t="s">
        <v>73</v>
      </c>
      <c r="D45" s="153">
        <v>33013</v>
      </c>
      <c r="E45" s="149"/>
      <c r="F45" s="149">
        <v>660</v>
      </c>
      <c r="G45" s="149">
        <v>688</v>
      </c>
      <c r="N45" s="149">
        <f t="shared" si="0"/>
        <v>1348</v>
      </c>
    </row>
    <row r="46" spans="1:14" x14ac:dyDescent="0.25">
      <c r="A46" s="4" t="s">
        <v>109</v>
      </c>
      <c r="B46" s="4" t="s">
        <v>113</v>
      </c>
      <c r="C46" s="6" t="s">
        <v>79</v>
      </c>
      <c r="D46" s="153">
        <v>6170</v>
      </c>
      <c r="E46" s="149"/>
      <c r="F46" s="149">
        <v>123</v>
      </c>
      <c r="G46" s="149">
        <v>129</v>
      </c>
      <c r="N46" s="149">
        <f t="shared" si="0"/>
        <v>252</v>
      </c>
    </row>
    <row r="47" spans="1:14" x14ac:dyDescent="0.25">
      <c r="A47" s="4" t="s">
        <v>109</v>
      </c>
      <c r="B47" s="4" t="s">
        <v>114</v>
      </c>
      <c r="C47" s="5" t="s">
        <v>73</v>
      </c>
      <c r="D47" s="153">
        <v>11524</v>
      </c>
      <c r="E47" s="149"/>
      <c r="F47" s="149">
        <v>230</v>
      </c>
      <c r="G47" s="149">
        <v>240</v>
      </c>
      <c r="N47" s="149">
        <f t="shared" si="0"/>
        <v>470</v>
      </c>
    </row>
    <row r="48" spans="1:14" x14ac:dyDescent="0.25">
      <c r="A48" s="4" t="s">
        <v>109</v>
      </c>
      <c r="B48" s="4" t="s">
        <v>115</v>
      </c>
      <c r="C48" s="5" t="s">
        <v>73</v>
      </c>
      <c r="D48" s="153">
        <v>6748</v>
      </c>
      <c r="E48" s="149"/>
      <c r="F48" s="149">
        <v>135</v>
      </c>
      <c r="G48" s="149">
        <v>141</v>
      </c>
      <c r="N48" s="149">
        <f t="shared" si="0"/>
        <v>276</v>
      </c>
    </row>
    <row r="49" spans="1:14" x14ac:dyDescent="0.25">
      <c r="A49" s="4" t="s">
        <v>109</v>
      </c>
      <c r="B49" s="4" t="s">
        <v>85</v>
      </c>
      <c r="C49" s="5" t="s">
        <v>86</v>
      </c>
      <c r="D49" s="153">
        <v>5843</v>
      </c>
      <c r="E49" s="149"/>
      <c r="F49" s="149">
        <v>117</v>
      </c>
      <c r="G49" s="149">
        <v>122</v>
      </c>
      <c r="N49" s="149">
        <f t="shared" si="0"/>
        <v>239</v>
      </c>
    </row>
    <row r="50" spans="1:14" x14ac:dyDescent="0.25">
      <c r="A50" s="66" t="s">
        <v>109</v>
      </c>
      <c r="B50" s="66" t="s">
        <v>116</v>
      </c>
      <c r="C50" s="6" t="s">
        <v>96</v>
      </c>
      <c r="D50" s="153">
        <v>45486</v>
      </c>
      <c r="E50" s="149"/>
      <c r="F50" s="149">
        <v>910</v>
      </c>
      <c r="G50" s="149">
        <v>948</v>
      </c>
      <c r="N50" s="149">
        <f t="shared" si="0"/>
        <v>1858</v>
      </c>
    </row>
    <row r="51" spans="1:14" ht="26.25" x14ac:dyDescent="0.25">
      <c r="A51" s="4" t="s">
        <v>109</v>
      </c>
      <c r="B51" s="4" t="s">
        <v>88</v>
      </c>
      <c r="C51" s="5" t="s">
        <v>86</v>
      </c>
      <c r="D51" s="153"/>
      <c r="E51" s="149"/>
      <c r="F51" s="149"/>
      <c r="G51" s="149"/>
      <c r="N51" s="149">
        <f t="shared" si="0"/>
        <v>0</v>
      </c>
    </row>
    <row r="52" spans="1:14" ht="26.25" x14ac:dyDescent="0.25">
      <c r="A52" s="4" t="s">
        <v>109</v>
      </c>
      <c r="B52" s="4" t="s">
        <v>89</v>
      </c>
      <c r="C52" s="5" t="s">
        <v>86</v>
      </c>
      <c r="D52" s="153"/>
      <c r="E52" s="149"/>
      <c r="F52" s="149"/>
      <c r="G52" s="149"/>
      <c r="N52" s="149">
        <f t="shared" si="0"/>
        <v>0</v>
      </c>
    </row>
    <row r="53" spans="1:14" ht="26.25" x14ac:dyDescent="0.25">
      <c r="A53" s="4" t="s">
        <v>109</v>
      </c>
      <c r="B53" s="4" t="s">
        <v>87</v>
      </c>
      <c r="C53" s="5" t="s">
        <v>86</v>
      </c>
      <c r="D53" s="153">
        <v>5092</v>
      </c>
      <c r="E53" s="149"/>
      <c r="F53" s="149">
        <v>146</v>
      </c>
      <c r="G53" s="149"/>
      <c r="N53" s="149">
        <f t="shared" si="0"/>
        <v>146</v>
      </c>
    </row>
    <row r="54" spans="1:14" x14ac:dyDescent="0.25">
      <c r="A54" s="4" t="s">
        <v>109</v>
      </c>
      <c r="B54" s="4" t="s">
        <v>90</v>
      </c>
      <c r="C54" s="5" t="s">
        <v>86</v>
      </c>
      <c r="D54" s="153"/>
      <c r="E54" s="149"/>
      <c r="F54" s="149"/>
      <c r="G54" s="149"/>
      <c r="N54" s="149">
        <f t="shared" si="0"/>
        <v>0</v>
      </c>
    </row>
    <row r="55" spans="1:14" x14ac:dyDescent="0.25">
      <c r="A55" s="4" t="s">
        <v>109</v>
      </c>
      <c r="B55" s="4" t="s">
        <v>117</v>
      </c>
      <c r="C55" s="5" t="s">
        <v>82</v>
      </c>
      <c r="D55" s="153">
        <v>40918</v>
      </c>
      <c r="E55" s="149"/>
      <c r="F55" s="149">
        <v>818</v>
      </c>
      <c r="G55" s="149">
        <v>852</v>
      </c>
      <c r="N55" s="149">
        <f t="shared" si="0"/>
        <v>1670</v>
      </c>
    </row>
    <row r="56" spans="1:14" ht="26.25" x14ac:dyDescent="0.25">
      <c r="A56" s="4" t="s">
        <v>109</v>
      </c>
      <c r="B56" s="4" t="s">
        <v>83</v>
      </c>
      <c r="C56" s="5" t="s">
        <v>82</v>
      </c>
      <c r="D56" s="153">
        <v>29859</v>
      </c>
      <c r="E56" s="149"/>
      <c r="F56" s="149">
        <v>896</v>
      </c>
      <c r="G56" s="149"/>
      <c r="N56" s="149">
        <f t="shared" si="0"/>
        <v>896</v>
      </c>
    </row>
    <row r="57" spans="1:14" x14ac:dyDescent="0.25">
      <c r="A57" s="4" t="s">
        <v>109</v>
      </c>
      <c r="B57" s="4" t="s">
        <v>118</v>
      </c>
      <c r="C57" s="5" t="s">
        <v>119</v>
      </c>
      <c r="D57" s="153">
        <v>181751</v>
      </c>
      <c r="E57" s="149"/>
      <c r="F57" s="149">
        <v>3635</v>
      </c>
      <c r="G57" s="149">
        <v>3786</v>
      </c>
      <c r="N57" s="149">
        <f t="shared" si="0"/>
        <v>7421</v>
      </c>
    </row>
    <row r="58" spans="1:14" ht="39" x14ac:dyDescent="0.25">
      <c r="A58" s="4" t="s">
        <v>109</v>
      </c>
      <c r="B58" s="4" t="s">
        <v>120</v>
      </c>
      <c r="C58" s="5" t="s">
        <v>119</v>
      </c>
      <c r="D58" s="153"/>
      <c r="E58" s="149"/>
      <c r="F58" s="149"/>
      <c r="G58" s="149"/>
      <c r="N58" s="149">
        <f t="shared" si="0"/>
        <v>0</v>
      </c>
    </row>
    <row r="59" spans="1:14" ht="26.25" x14ac:dyDescent="0.25">
      <c r="A59" s="4" t="s">
        <v>109</v>
      </c>
      <c r="B59" s="4" t="s">
        <v>121</v>
      </c>
      <c r="C59" s="5" t="s">
        <v>119</v>
      </c>
      <c r="D59" s="153"/>
      <c r="E59" s="149"/>
      <c r="F59" s="149"/>
      <c r="G59" s="149"/>
      <c r="N59" s="149">
        <f t="shared" si="0"/>
        <v>0</v>
      </c>
    </row>
    <row r="60" spans="1:14" x14ac:dyDescent="0.25">
      <c r="A60" s="4" t="s">
        <v>109</v>
      </c>
      <c r="B60" s="4" t="s">
        <v>122</v>
      </c>
      <c r="C60" s="5" t="s">
        <v>119</v>
      </c>
      <c r="D60" s="153"/>
      <c r="E60" s="149"/>
      <c r="F60" s="149"/>
      <c r="G60" s="149"/>
      <c r="N60" s="149">
        <f t="shared" si="0"/>
        <v>0</v>
      </c>
    </row>
    <row r="61" spans="1:14" x14ac:dyDescent="0.25">
      <c r="A61" s="4" t="s">
        <v>109</v>
      </c>
      <c r="B61" s="4" t="s">
        <v>69</v>
      </c>
      <c r="C61" s="5" t="s">
        <v>70</v>
      </c>
      <c r="D61" s="153">
        <v>7267</v>
      </c>
      <c r="E61" s="149"/>
      <c r="F61" s="149">
        <v>145</v>
      </c>
      <c r="G61" s="149">
        <v>151</v>
      </c>
      <c r="N61" s="149">
        <f t="shared" si="0"/>
        <v>296</v>
      </c>
    </row>
    <row r="62" spans="1:14" x14ac:dyDescent="0.25">
      <c r="A62" s="4" t="s">
        <v>109</v>
      </c>
      <c r="B62" s="4" t="s">
        <v>97</v>
      </c>
      <c r="C62" s="5" t="s">
        <v>96</v>
      </c>
      <c r="D62" s="153"/>
      <c r="E62" s="149"/>
      <c r="F62" s="149"/>
      <c r="G62" s="149"/>
      <c r="N62" s="149">
        <f t="shared" si="0"/>
        <v>0</v>
      </c>
    </row>
    <row r="63" spans="1:14" x14ac:dyDescent="0.25">
      <c r="A63" s="4" t="s">
        <v>109</v>
      </c>
      <c r="B63" s="4" t="s">
        <v>91</v>
      </c>
      <c r="C63" s="5" t="s">
        <v>86</v>
      </c>
      <c r="D63" s="153">
        <v>113320</v>
      </c>
      <c r="E63" s="149"/>
      <c r="F63" s="149"/>
      <c r="G63" s="149"/>
      <c r="N63" s="149">
        <f t="shared" si="0"/>
        <v>0</v>
      </c>
    </row>
    <row r="64" spans="1:14" ht="26.25" x14ac:dyDescent="0.25">
      <c r="A64" s="4" t="s">
        <v>109</v>
      </c>
      <c r="B64" s="4" t="s">
        <v>92</v>
      </c>
      <c r="C64" s="5" t="s">
        <v>93</v>
      </c>
      <c r="D64" s="153">
        <v>6435</v>
      </c>
      <c r="E64" s="149"/>
      <c r="F64" s="149"/>
      <c r="G64" s="149"/>
      <c r="N64" s="149">
        <f t="shared" si="0"/>
        <v>0</v>
      </c>
    </row>
    <row r="65" spans="1:14" ht="26.25" x14ac:dyDescent="0.25">
      <c r="A65" s="4" t="s">
        <v>109</v>
      </c>
      <c r="B65" s="4" t="s">
        <v>84</v>
      </c>
      <c r="C65" s="5" t="s">
        <v>82</v>
      </c>
      <c r="D65" s="153">
        <v>16928</v>
      </c>
      <c r="E65" s="149"/>
      <c r="F65" s="149"/>
      <c r="G65" s="149"/>
      <c r="N65" s="149">
        <f t="shared" si="0"/>
        <v>0</v>
      </c>
    </row>
    <row r="66" spans="1:14" x14ac:dyDescent="0.25">
      <c r="A66" s="4" t="s">
        <v>109</v>
      </c>
      <c r="B66" s="4" t="s">
        <v>100</v>
      </c>
      <c r="C66" s="5" t="s">
        <v>101</v>
      </c>
      <c r="D66" s="153"/>
      <c r="E66" s="149"/>
      <c r="F66" s="149"/>
      <c r="G66" s="149"/>
      <c r="N66" s="149">
        <f t="shared" si="0"/>
        <v>0</v>
      </c>
    </row>
    <row r="67" spans="1:14" x14ac:dyDescent="0.25">
      <c r="A67" s="4" t="s">
        <v>109</v>
      </c>
      <c r="B67" s="4" t="s">
        <v>105</v>
      </c>
      <c r="C67" s="5"/>
      <c r="D67" s="153">
        <v>11153</v>
      </c>
      <c r="E67" s="149"/>
      <c r="F67" s="149"/>
      <c r="G67" s="149"/>
      <c r="N67" s="149">
        <f t="shared" si="0"/>
        <v>0</v>
      </c>
    </row>
    <row r="68" spans="1:14" x14ac:dyDescent="0.25">
      <c r="A68" s="4" t="s">
        <v>109</v>
      </c>
      <c r="B68" s="4" t="s">
        <v>106</v>
      </c>
      <c r="C68" s="5"/>
      <c r="D68" s="153">
        <v>10533</v>
      </c>
      <c r="E68" s="149"/>
      <c r="F68" s="149"/>
      <c r="G68" s="149"/>
      <c r="N68" s="149">
        <f t="shared" si="0"/>
        <v>0</v>
      </c>
    </row>
    <row r="69" spans="1:14" x14ac:dyDescent="0.25">
      <c r="A69" s="16" t="s">
        <v>123</v>
      </c>
      <c r="B69" s="16" t="s">
        <v>108</v>
      </c>
      <c r="C69" s="17"/>
      <c r="D69" s="105">
        <f t="shared" ref="D69:G69" si="2">SUM(D38:D68)</f>
        <v>698886</v>
      </c>
      <c r="E69" s="149">
        <f t="shared" si="2"/>
        <v>0</v>
      </c>
      <c r="F69" s="36">
        <f t="shared" si="2"/>
        <v>11153</v>
      </c>
      <c r="G69" s="36">
        <f t="shared" si="2"/>
        <v>10533</v>
      </c>
      <c r="N69" s="149">
        <f t="shared" si="0"/>
        <v>21686</v>
      </c>
    </row>
    <row r="70" spans="1:14" x14ac:dyDescent="0.25">
      <c r="A70" s="4" t="s">
        <v>124</v>
      </c>
      <c r="B70" s="4" t="s">
        <v>125</v>
      </c>
      <c r="C70" s="5" t="s">
        <v>57</v>
      </c>
      <c r="D70" s="97">
        <v>48586</v>
      </c>
      <c r="E70" s="149"/>
      <c r="F70" s="149">
        <v>972</v>
      </c>
      <c r="G70" s="149">
        <v>1012</v>
      </c>
      <c r="N70" s="149">
        <f t="shared" si="0"/>
        <v>1984</v>
      </c>
    </row>
    <row r="71" spans="1:14" x14ac:dyDescent="0.25">
      <c r="A71" s="4" t="s">
        <v>124</v>
      </c>
      <c r="B71" s="4" t="s">
        <v>98</v>
      </c>
      <c r="C71" s="5" t="s">
        <v>99</v>
      </c>
      <c r="D71" s="97"/>
      <c r="E71" s="149"/>
      <c r="F71" s="149"/>
      <c r="G71" s="149"/>
      <c r="N71" s="149">
        <f t="shared" si="0"/>
        <v>0</v>
      </c>
    </row>
    <row r="72" spans="1:14" ht="26.25" x14ac:dyDescent="0.25">
      <c r="A72" s="4" t="s">
        <v>124</v>
      </c>
      <c r="B72" s="4" t="s">
        <v>65</v>
      </c>
      <c r="C72" s="5" t="s">
        <v>60</v>
      </c>
      <c r="D72" s="97">
        <v>98239</v>
      </c>
      <c r="E72" s="149"/>
      <c r="F72" s="149">
        <v>1965</v>
      </c>
      <c r="G72" s="149">
        <v>2047</v>
      </c>
      <c r="N72" s="149">
        <f t="shared" si="0"/>
        <v>4012</v>
      </c>
    </row>
    <row r="73" spans="1:14" ht="26.25" x14ac:dyDescent="0.25">
      <c r="A73" s="4" t="s">
        <v>124</v>
      </c>
      <c r="B73" s="4" t="s">
        <v>62</v>
      </c>
      <c r="C73" s="5" t="s">
        <v>60</v>
      </c>
      <c r="D73" s="97"/>
      <c r="E73" s="149"/>
      <c r="F73" s="149"/>
      <c r="G73" s="149"/>
      <c r="N73" s="149">
        <f t="shared" ref="N73:N136" si="3">G73+F73</f>
        <v>0</v>
      </c>
    </row>
    <row r="74" spans="1:14" x14ac:dyDescent="0.25">
      <c r="A74" s="4" t="s">
        <v>124</v>
      </c>
      <c r="B74" s="4" t="s">
        <v>64</v>
      </c>
      <c r="C74" s="5" t="s">
        <v>60</v>
      </c>
      <c r="D74" s="97"/>
      <c r="E74" s="149"/>
      <c r="F74" s="149"/>
      <c r="G74" s="149"/>
      <c r="N74" s="149">
        <f t="shared" si="3"/>
        <v>0</v>
      </c>
    </row>
    <row r="75" spans="1:14" x14ac:dyDescent="0.25">
      <c r="A75" s="4" t="s">
        <v>124</v>
      </c>
      <c r="B75" s="4" t="s">
        <v>126</v>
      </c>
      <c r="C75" s="5" t="s">
        <v>73</v>
      </c>
      <c r="D75" s="97">
        <v>11583</v>
      </c>
      <c r="E75" s="149"/>
      <c r="F75" s="149">
        <v>232</v>
      </c>
      <c r="G75" s="149">
        <v>241</v>
      </c>
      <c r="N75" s="149">
        <f t="shared" si="3"/>
        <v>473</v>
      </c>
    </row>
    <row r="76" spans="1:14" x14ac:dyDescent="0.25">
      <c r="A76" s="4" t="s">
        <v>124</v>
      </c>
      <c r="B76" s="4" t="s">
        <v>77</v>
      </c>
      <c r="C76" s="5" t="s">
        <v>73</v>
      </c>
      <c r="D76" s="97">
        <v>33176</v>
      </c>
      <c r="E76" s="149"/>
      <c r="F76" s="149">
        <v>664</v>
      </c>
      <c r="G76" s="149">
        <v>691</v>
      </c>
      <c r="N76" s="149">
        <f t="shared" si="3"/>
        <v>1355</v>
      </c>
    </row>
    <row r="77" spans="1:14" x14ac:dyDescent="0.25">
      <c r="A77" s="4" t="s">
        <v>124</v>
      </c>
      <c r="B77" s="4" t="s">
        <v>127</v>
      </c>
      <c r="C77" s="5" t="s">
        <v>82</v>
      </c>
      <c r="D77" s="97">
        <v>54740</v>
      </c>
      <c r="E77" s="149"/>
      <c r="F77" s="149">
        <v>1095</v>
      </c>
      <c r="G77" s="149">
        <v>1140</v>
      </c>
      <c r="N77" s="149">
        <f t="shared" si="3"/>
        <v>2235</v>
      </c>
    </row>
    <row r="78" spans="1:14" ht="26.25" x14ac:dyDescent="0.25">
      <c r="A78" s="4" t="s">
        <v>124</v>
      </c>
      <c r="B78" s="4" t="s">
        <v>83</v>
      </c>
      <c r="C78" s="5" t="s">
        <v>82</v>
      </c>
      <c r="D78" s="97">
        <v>48724</v>
      </c>
      <c r="E78" s="149"/>
      <c r="F78" s="149">
        <v>1431</v>
      </c>
      <c r="G78" s="149"/>
      <c r="N78" s="149">
        <f t="shared" si="3"/>
        <v>1431</v>
      </c>
    </row>
    <row r="79" spans="1:14" x14ac:dyDescent="0.25">
      <c r="A79" s="4" t="s">
        <v>124</v>
      </c>
      <c r="B79" s="4" t="s">
        <v>85</v>
      </c>
      <c r="C79" s="5" t="s">
        <v>86</v>
      </c>
      <c r="D79" s="97">
        <v>19918</v>
      </c>
      <c r="E79" s="149"/>
      <c r="F79" s="149">
        <v>398</v>
      </c>
      <c r="G79" s="149">
        <v>415</v>
      </c>
      <c r="N79" s="149">
        <f t="shared" si="3"/>
        <v>813</v>
      </c>
    </row>
    <row r="80" spans="1:14" ht="26.25" x14ac:dyDescent="0.25">
      <c r="A80" s="4" t="s">
        <v>124</v>
      </c>
      <c r="B80" s="4" t="s">
        <v>87</v>
      </c>
      <c r="C80" s="5" t="s">
        <v>86</v>
      </c>
      <c r="D80" s="97">
        <v>3985</v>
      </c>
      <c r="E80" s="149"/>
      <c r="F80" s="149">
        <v>113</v>
      </c>
      <c r="G80" s="149"/>
      <c r="N80" s="149">
        <f t="shared" si="3"/>
        <v>113</v>
      </c>
    </row>
    <row r="81" spans="1:14" ht="26.25" x14ac:dyDescent="0.25">
      <c r="A81" s="4" t="s">
        <v>124</v>
      </c>
      <c r="B81" s="4" t="s">
        <v>88</v>
      </c>
      <c r="C81" s="5" t="s">
        <v>86</v>
      </c>
      <c r="D81" s="97"/>
      <c r="E81" s="149"/>
      <c r="F81" s="149"/>
      <c r="G81" s="149"/>
      <c r="N81" s="149">
        <f t="shared" si="3"/>
        <v>0</v>
      </c>
    </row>
    <row r="82" spans="1:14" ht="26.25" x14ac:dyDescent="0.25">
      <c r="A82" s="4" t="s">
        <v>124</v>
      </c>
      <c r="B82" s="4" t="s">
        <v>89</v>
      </c>
      <c r="C82" s="5" t="s">
        <v>86</v>
      </c>
      <c r="D82" s="97"/>
      <c r="E82" s="149"/>
      <c r="F82" s="149"/>
      <c r="G82" s="149"/>
      <c r="N82" s="149">
        <f t="shared" si="3"/>
        <v>0</v>
      </c>
    </row>
    <row r="83" spans="1:14" x14ac:dyDescent="0.25">
      <c r="A83" s="4" t="s">
        <v>124</v>
      </c>
      <c r="B83" s="4" t="s">
        <v>90</v>
      </c>
      <c r="C83" s="5" t="s">
        <v>86</v>
      </c>
      <c r="D83" s="97"/>
      <c r="E83" s="149"/>
      <c r="F83" s="149"/>
      <c r="G83" s="149"/>
      <c r="N83" s="149">
        <f t="shared" si="3"/>
        <v>0</v>
      </c>
    </row>
    <row r="84" spans="1:14" x14ac:dyDescent="0.25">
      <c r="A84" s="4" t="s">
        <v>124</v>
      </c>
      <c r="B84" s="4" t="s">
        <v>129</v>
      </c>
      <c r="C84" s="5" t="s">
        <v>104</v>
      </c>
      <c r="D84" s="97"/>
      <c r="E84" s="149"/>
      <c r="F84" s="149"/>
      <c r="G84" s="149"/>
      <c r="N84" s="149">
        <f t="shared" si="3"/>
        <v>0</v>
      </c>
    </row>
    <row r="85" spans="1:14" x14ac:dyDescent="0.25">
      <c r="A85" s="4" t="s">
        <v>124</v>
      </c>
      <c r="B85" s="4" t="s">
        <v>69</v>
      </c>
      <c r="C85" s="5" t="s">
        <v>70</v>
      </c>
      <c r="D85" s="97">
        <v>1780</v>
      </c>
      <c r="E85" s="149"/>
      <c r="F85" s="149">
        <v>36</v>
      </c>
      <c r="G85" s="149">
        <v>37</v>
      </c>
      <c r="N85" s="149">
        <f t="shared" si="3"/>
        <v>73</v>
      </c>
    </row>
    <row r="86" spans="1:14" x14ac:dyDescent="0.25">
      <c r="A86" s="4" t="s">
        <v>124</v>
      </c>
      <c r="B86" s="4" t="s">
        <v>130</v>
      </c>
      <c r="C86" s="5" t="s">
        <v>73</v>
      </c>
      <c r="D86" s="97"/>
      <c r="E86" s="149"/>
      <c r="F86" s="149"/>
      <c r="G86" s="149"/>
      <c r="N86" s="149">
        <f t="shared" si="3"/>
        <v>0</v>
      </c>
    </row>
    <row r="87" spans="1:14" x14ac:dyDescent="0.25">
      <c r="A87" s="4" t="s">
        <v>124</v>
      </c>
      <c r="B87" s="4" t="s">
        <v>97</v>
      </c>
      <c r="C87" s="5" t="s">
        <v>96</v>
      </c>
      <c r="D87" s="97"/>
      <c r="E87" s="149"/>
      <c r="F87" s="149"/>
      <c r="G87" s="149"/>
      <c r="N87" s="149">
        <f t="shared" si="3"/>
        <v>0</v>
      </c>
    </row>
    <row r="88" spans="1:14" x14ac:dyDescent="0.25">
      <c r="A88" s="4" t="s">
        <v>124</v>
      </c>
      <c r="B88" s="4" t="s">
        <v>91</v>
      </c>
      <c r="C88" s="5" t="s">
        <v>86</v>
      </c>
      <c r="D88" s="97">
        <v>108576</v>
      </c>
      <c r="E88" s="149"/>
      <c r="F88" s="149"/>
      <c r="G88" s="149"/>
      <c r="N88" s="149">
        <f t="shared" si="3"/>
        <v>0</v>
      </c>
    </row>
    <row r="89" spans="1:14" ht="26.25" x14ac:dyDescent="0.25">
      <c r="A89" s="4" t="s">
        <v>124</v>
      </c>
      <c r="B89" s="4" t="s">
        <v>92</v>
      </c>
      <c r="C89" s="5" t="s">
        <v>93</v>
      </c>
      <c r="D89" s="97">
        <v>6435</v>
      </c>
      <c r="E89" s="149"/>
      <c r="F89" s="149"/>
      <c r="G89" s="149"/>
      <c r="N89" s="149">
        <f t="shared" si="3"/>
        <v>0</v>
      </c>
    </row>
    <row r="90" spans="1:14" ht="26.25" x14ac:dyDescent="0.25">
      <c r="A90" s="4" t="s">
        <v>124</v>
      </c>
      <c r="B90" s="4" t="s">
        <v>84</v>
      </c>
      <c r="C90" s="5" t="s">
        <v>82</v>
      </c>
      <c r="D90" s="97">
        <v>36752</v>
      </c>
      <c r="E90" s="149"/>
      <c r="F90" s="149"/>
      <c r="G90" s="149"/>
      <c r="N90" s="149">
        <f t="shared" si="3"/>
        <v>0</v>
      </c>
    </row>
    <row r="91" spans="1:14" x14ac:dyDescent="0.25">
      <c r="A91" s="4" t="s">
        <v>124</v>
      </c>
      <c r="B91" s="4" t="s">
        <v>131</v>
      </c>
      <c r="C91" s="5" t="s">
        <v>67</v>
      </c>
      <c r="D91" s="97">
        <v>13511</v>
      </c>
      <c r="E91" s="149"/>
      <c r="F91" s="149">
        <v>270</v>
      </c>
      <c r="G91" s="149">
        <v>281</v>
      </c>
      <c r="N91" s="149">
        <f t="shared" si="3"/>
        <v>551</v>
      </c>
    </row>
    <row r="92" spans="1:14" x14ac:dyDescent="0.25">
      <c r="A92" s="4" t="s">
        <v>124</v>
      </c>
      <c r="B92" s="4" t="s">
        <v>100</v>
      </c>
      <c r="C92" s="5" t="s">
        <v>101</v>
      </c>
      <c r="D92" s="97"/>
      <c r="E92" s="149"/>
      <c r="F92" s="149"/>
      <c r="G92" s="149"/>
      <c r="N92" s="149">
        <f t="shared" si="3"/>
        <v>0</v>
      </c>
    </row>
    <row r="93" spans="1:14" x14ac:dyDescent="0.25">
      <c r="A93" s="4" t="s">
        <v>124</v>
      </c>
      <c r="B93" s="4" t="s">
        <v>105</v>
      </c>
      <c r="C93" s="5"/>
      <c r="D93" s="97">
        <v>7176</v>
      </c>
      <c r="E93" s="149"/>
      <c r="F93" s="149"/>
      <c r="G93" s="149"/>
      <c r="N93" s="149">
        <f t="shared" si="3"/>
        <v>0</v>
      </c>
    </row>
    <row r="94" spans="1:14" x14ac:dyDescent="0.25">
      <c r="A94" s="4" t="s">
        <v>124</v>
      </c>
      <c r="B94" s="4" t="s">
        <v>106</v>
      </c>
      <c r="C94" s="5"/>
      <c r="D94" s="97">
        <v>5864</v>
      </c>
      <c r="E94" s="149"/>
      <c r="F94" s="149"/>
      <c r="G94" s="149"/>
      <c r="N94" s="149">
        <f t="shared" si="3"/>
        <v>0</v>
      </c>
    </row>
    <row r="95" spans="1:14" x14ac:dyDescent="0.25">
      <c r="A95" s="16" t="s">
        <v>132</v>
      </c>
      <c r="B95" s="16" t="s">
        <v>108</v>
      </c>
      <c r="C95" s="17"/>
      <c r="D95" s="105">
        <f t="shared" ref="D95:G95" si="4">SUM(D70:D94)</f>
        <v>499045</v>
      </c>
      <c r="E95" s="149">
        <f t="shared" si="4"/>
        <v>0</v>
      </c>
      <c r="F95" s="36">
        <f t="shared" si="4"/>
        <v>7176</v>
      </c>
      <c r="G95" s="36">
        <f t="shared" si="4"/>
        <v>5864</v>
      </c>
      <c r="N95" s="149">
        <f t="shared" si="3"/>
        <v>13040</v>
      </c>
    </row>
    <row r="96" spans="1:14" x14ac:dyDescent="0.25">
      <c r="A96" s="4" t="s">
        <v>133</v>
      </c>
      <c r="B96" s="4" t="s">
        <v>56</v>
      </c>
      <c r="C96" s="5" t="s">
        <v>57</v>
      </c>
      <c r="D96" s="153">
        <v>58952</v>
      </c>
      <c r="E96" s="149"/>
      <c r="F96" s="149">
        <v>1179</v>
      </c>
      <c r="G96" s="149">
        <v>1228</v>
      </c>
      <c r="N96" s="149">
        <f t="shared" si="3"/>
        <v>2407</v>
      </c>
    </row>
    <row r="97" spans="1:14" x14ac:dyDescent="0.25">
      <c r="A97" s="4" t="s">
        <v>133</v>
      </c>
      <c r="B97" s="4" t="s">
        <v>98</v>
      </c>
      <c r="C97" s="5" t="s">
        <v>99</v>
      </c>
      <c r="D97" s="153"/>
      <c r="E97" s="149"/>
      <c r="F97" s="149"/>
      <c r="G97" s="149"/>
      <c r="N97" s="149">
        <f t="shared" si="3"/>
        <v>0</v>
      </c>
    </row>
    <row r="98" spans="1:14" ht="26.25" x14ac:dyDescent="0.25">
      <c r="A98" s="4" t="s">
        <v>133</v>
      </c>
      <c r="B98" s="4" t="s">
        <v>134</v>
      </c>
      <c r="C98" s="5" t="s">
        <v>60</v>
      </c>
      <c r="D98" s="153">
        <v>147018</v>
      </c>
      <c r="E98" s="149"/>
      <c r="F98" s="149">
        <v>2940</v>
      </c>
      <c r="G98" s="149">
        <v>3063</v>
      </c>
      <c r="N98" s="149">
        <f t="shared" si="3"/>
        <v>6003</v>
      </c>
    </row>
    <row r="99" spans="1:14" ht="26.25" x14ac:dyDescent="0.25">
      <c r="A99" s="4" t="s">
        <v>133</v>
      </c>
      <c r="B99" s="4" t="s">
        <v>62</v>
      </c>
      <c r="C99" s="5" t="s">
        <v>60</v>
      </c>
      <c r="D99" s="153"/>
      <c r="E99" s="149"/>
      <c r="F99" s="149"/>
      <c r="G99" s="149"/>
      <c r="N99" s="149">
        <f t="shared" si="3"/>
        <v>0</v>
      </c>
    </row>
    <row r="100" spans="1:14" x14ac:dyDescent="0.25">
      <c r="A100" s="4" t="s">
        <v>133</v>
      </c>
      <c r="B100" s="4" t="s">
        <v>64</v>
      </c>
      <c r="C100" s="5" t="s">
        <v>60</v>
      </c>
      <c r="D100" s="153"/>
      <c r="E100" s="149"/>
      <c r="F100" s="149"/>
      <c r="G100" s="149"/>
      <c r="N100" s="149">
        <f t="shared" si="3"/>
        <v>0</v>
      </c>
    </row>
    <row r="101" spans="1:14" x14ac:dyDescent="0.25">
      <c r="A101" s="4" t="s">
        <v>133</v>
      </c>
      <c r="B101" s="4" t="s">
        <v>135</v>
      </c>
      <c r="C101" s="5" t="s">
        <v>73</v>
      </c>
      <c r="D101" s="153">
        <v>10115</v>
      </c>
      <c r="E101" s="149"/>
      <c r="F101" s="149">
        <v>202</v>
      </c>
      <c r="G101" s="149">
        <v>211</v>
      </c>
      <c r="N101" s="149">
        <f t="shared" si="3"/>
        <v>413</v>
      </c>
    </row>
    <row r="102" spans="1:14" x14ac:dyDescent="0.25">
      <c r="A102" s="4" t="s">
        <v>133</v>
      </c>
      <c r="B102" s="4" t="s">
        <v>136</v>
      </c>
      <c r="C102" s="5" t="s">
        <v>73</v>
      </c>
      <c r="D102" s="153">
        <v>6407</v>
      </c>
      <c r="E102" s="149"/>
      <c r="F102" s="149">
        <v>128</v>
      </c>
      <c r="G102" s="149">
        <v>133</v>
      </c>
      <c r="N102" s="149">
        <f t="shared" si="3"/>
        <v>261</v>
      </c>
    </row>
    <row r="103" spans="1:14" x14ac:dyDescent="0.25">
      <c r="A103" s="4" t="s">
        <v>133</v>
      </c>
      <c r="B103" s="4" t="s">
        <v>77</v>
      </c>
      <c r="C103" s="5" t="s">
        <v>73</v>
      </c>
      <c r="D103" s="153">
        <v>20941</v>
      </c>
      <c r="E103" s="149"/>
      <c r="F103" s="149"/>
      <c r="G103" s="149"/>
      <c r="N103" s="149">
        <f t="shared" si="3"/>
        <v>0</v>
      </c>
    </row>
    <row r="104" spans="1:14" x14ac:dyDescent="0.25">
      <c r="A104" s="4" t="s">
        <v>133</v>
      </c>
      <c r="B104" s="4" t="s">
        <v>137</v>
      </c>
      <c r="C104" s="5" t="s">
        <v>73</v>
      </c>
      <c r="D104" s="153"/>
      <c r="E104" s="149"/>
      <c r="F104" s="149">
        <v>419</v>
      </c>
      <c r="G104" s="149">
        <v>436</v>
      </c>
      <c r="N104" s="149">
        <f t="shared" si="3"/>
        <v>855</v>
      </c>
    </row>
    <row r="105" spans="1:14" x14ac:dyDescent="0.25">
      <c r="A105" s="4" t="s">
        <v>133</v>
      </c>
      <c r="B105" s="4" t="s">
        <v>138</v>
      </c>
      <c r="C105" s="5" t="s">
        <v>82</v>
      </c>
      <c r="D105" s="153">
        <v>31975</v>
      </c>
      <c r="E105" s="149"/>
      <c r="F105" s="149">
        <v>640</v>
      </c>
      <c r="G105" s="149">
        <v>666</v>
      </c>
      <c r="N105" s="149">
        <f t="shared" si="3"/>
        <v>1306</v>
      </c>
    </row>
    <row r="106" spans="1:14" x14ac:dyDescent="0.25">
      <c r="A106" s="4" t="s">
        <v>133</v>
      </c>
      <c r="B106" s="4" t="s">
        <v>90</v>
      </c>
      <c r="C106" s="5" t="s">
        <v>86</v>
      </c>
      <c r="D106" s="153"/>
      <c r="E106" s="149"/>
      <c r="F106" s="149"/>
      <c r="G106" s="149"/>
      <c r="N106" s="149">
        <f t="shared" si="3"/>
        <v>0</v>
      </c>
    </row>
    <row r="107" spans="1:14" ht="26.25" x14ac:dyDescent="0.25">
      <c r="A107" s="4" t="s">
        <v>133</v>
      </c>
      <c r="B107" s="4" t="s">
        <v>83</v>
      </c>
      <c r="C107" s="5" t="s">
        <v>82</v>
      </c>
      <c r="D107" s="153">
        <v>29375</v>
      </c>
      <c r="E107" s="149"/>
      <c r="F107" s="149">
        <v>881</v>
      </c>
      <c r="G107" s="149"/>
      <c r="N107" s="149">
        <f t="shared" si="3"/>
        <v>881</v>
      </c>
    </row>
    <row r="108" spans="1:14" x14ac:dyDescent="0.25">
      <c r="A108" s="4" t="s">
        <v>133</v>
      </c>
      <c r="B108" s="4" t="s">
        <v>85</v>
      </c>
      <c r="C108" s="5" t="s">
        <v>86</v>
      </c>
      <c r="D108" s="153">
        <v>10189</v>
      </c>
      <c r="E108" s="149"/>
      <c r="F108" s="149">
        <v>204</v>
      </c>
      <c r="G108" s="149">
        <v>212</v>
      </c>
      <c r="N108" s="149">
        <f t="shared" si="3"/>
        <v>416</v>
      </c>
    </row>
    <row r="109" spans="1:14" ht="26.25" x14ac:dyDescent="0.25">
      <c r="A109" s="4" t="s">
        <v>133</v>
      </c>
      <c r="B109" s="4" t="s">
        <v>87</v>
      </c>
      <c r="C109" s="5" t="s">
        <v>86</v>
      </c>
      <c r="D109" s="153">
        <v>13812</v>
      </c>
      <c r="E109" s="149"/>
      <c r="F109" s="149">
        <v>367</v>
      </c>
      <c r="G109" s="149"/>
      <c r="N109" s="149">
        <f t="shared" si="3"/>
        <v>367</v>
      </c>
    </row>
    <row r="110" spans="1:14" ht="26.25" x14ac:dyDescent="0.25">
      <c r="A110" s="4" t="s">
        <v>133</v>
      </c>
      <c r="B110" s="4" t="s">
        <v>88</v>
      </c>
      <c r="C110" s="5" t="s">
        <v>86</v>
      </c>
      <c r="D110" s="153"/>
      <c r="E110" s="149"/>
      <c r="F110" s="149"/>
      <c r="G110" s="149"/>
      <c r="N110" s="149">
        <f t="shared" si="3"/>
        <v>0</v>
      </c>
    </row>
    <row r="111" spans="1:14" ht="26.25" x14ac:dyDescent="0.25">
      <c r="A111" s="4" t="s">
        <v>133</v>
      </c>
      <c r="B111" s="4" t="s">
        <v>89</v>
      </c>
      <c r="C111" s="5" t="s">
        <v>86</v>
      </c>
      <c r="D111" s="153"/>
      <c r="E111" s="149"/>
      <c r="F111" s="149"/>
      <c r="G111" s="149"/>
      <c r="N111" s="149">
        <f t="shared" si="3"/>
        <v>0</v>
      </c>
    </row>
    <row r="112" spans="1:14" x14ac:dyDescent="0.25">
      <c r="A112" s="4" t="s">
        <v>133</v>
      </c>
      <c r="B112" s="4" t="s">
        <v>118</v>
      </c>
      <c r="C112" s="5" t="s">
        <v>119</v>
      </c>
      <c r="D112" s="153">
        <v>153721</v>
      </c>
      <c r="E112" s="149"/>
      <c r="F112" s="149">
        <v>3074</v>
      </c>
      <c r="G112" s="149">
        <v>3203</v>
      </c>
      <c r="N112" s="149">
        <f t="shared" si="3"/>
        <v>6277</v>
      </c>
    </row>
    <row r="113" spans="1:14" ht="39" x14ac:dyDescent="0.25">
      <c r="A113" s="4" t="s">
        <v>133</v>
      </c>
      <c r="B113" s="4" t="s">
        <v>120</v>
      </c>
      <c r="C113" s="5" t="s">
        <v>119</v>
      </c>
      <c r="D113" s="153"/>
      <c r="E113" s="149"/>
      <c r="F113" s="149"/>
      <c r="G113" s="149"/>
      <c r="N113" s="149">
        <f t="shared" si="3"/>
        <v>0</v>
      </c>
    </row>
    <row r="114" spans="1:14" ht="26.25" x14ac:dyDescent="0.25">
      <c r="A114" s="4" t="s">
        <v>133</v>
      </c>
      <c r="B114" s="4" t="s">
        <v>121</v>
      </c>
      <c r="C114" s="5" t="s">
        <v>119</v>
      </c>
      <c r="D114" s="153"/>
      <c r="E114" s="149"/>
      <c r="F114" s="149"/>
      <c r="G114" s="149"/>
      <c r="N114" s="149">
        <f t="shared" si="3"/>
        <v>0</v>
      </c>
    </row>
    <row r="115" spans="1:14" x14ac:dyDescent="0.25">
      <c r="A115" s="4" t="s">
        <v>133</v>
      </c>
      <c r="B115" s="4" t="s">
        <v>143</v>
      </c>
      <c r="C115" s="5" t="s">
        <v>70</v>
      </c>
      <c r="D115" s="153">
        <v>890</v>
      </c>
      <c r="E115" s="149"/>
      <c r="F115" s="149">
        <v>18</v>
      </c>
      <c r="G115" s="149">
        <v>19</v>
      </c>
      <c r="N115" s="149">
        <f t="shared" si="3"/>
        <v>37</v>
      </c>
    </row>
    <row r="116" spans="1:14" x14ac:dyDescent="0.25">
      <c r="A116" s="4" t="s">
        <v>133</v>
      </c>
      <c r="B116" s="4" t="s">
        <v>97</v>
      </c>
      <c r="C116" s="5" t="s">
        <v>96</v>
      </c>
      <c r="D116" s="153"/>
      <c r="E116" s="149"/>
      <c r="F116" s="149"/>
      <c r="G116" s="149"/>
      <c r="N116" s="149">
        <f t="shared" si="3"/>
        <v>0</v>
      </c>
    </row>
    <row r="117" spans="1:14" x14ac:dyDescent="0.25">
      <c r="A117" s="4" t="s">
        <v>133</v>
      </c>
      <c r="B117" s="4" t="s">
        <v>91</v>
      </c>
      <c r="C117" s="5" t="s">
        <v>86</v>
      </c>
      <c r="D117" s="153">
        <f>94952+934</f>
        <v>95886</v>
      </c>
      <c r="E117" s="149"/>
      <c r="F117" s="149"/>
      <c r="G117" s="149"/>
      <c r="N117" s="149">
        <f t="shared" si="3"/>
        <v>0</v>
      </c>
    </row>
    <row r="118" spans="1:14" ht="26.25" x14ac:dyDescent="0.25">
      <c r="A118" s="4" t="s">
        <v>133</v>
      </c>
      <c r="B118" s="4" t="s">
        <v>92</v>
      </c>
      <c r="C118" s="5" t="s">
        <v>93</v>
      </c>
      <c r="D118" s="153">
        <f>5389+71</f>
        <v>5460</v>
      </c>
      <c r="E118" s="149"/>
      <c r="F118" s="149"/>
      <c r="G118" s="149"/>
      <c r="N118" s="149">
        <f t="shared" si="3"/>
        <v>0</v>
      </c>
    </row>
    <row r="119" spans="1:14" ht="26.25" x14ac:dyDescent="0.25">
      <c r="A119" s="4" t="s">
        <v>133</v>
      </c>
      <c r="B119" s="4" t="s">
        <v>84</v>
      </c>
      <c r="C119" s="5" t="s">
        <v>82</v>
      </c>
      <c r="D119" s="153">
        <v>12896</v>
      </c>
      <c r="E119" s="149"/>
      <c r="F119" s="149"/>
      <c r="G119" s="149"/>
      <c r="N119" s="149">
        <f t="shared" si="3"/>
        <v>0</v>
      </c>
    </row>
    <row r="120" spans="1:14" ht="26.25" x14ac:dyDescent="0.25">
      <c r="A120" s="4" t="s">
        <v>133</v>
      </c>
      <c r="B120" s="4" t="s">
        <v>144</v>
      </c>
      <c r="C120" s="5" t="s">
        <v>86</v>
      </c>
      <c r="D120" s="153">
        <v>334624</v>
      </c>
      <c r="E120" s="149"/>
      <c r="F120" s="149"/>
      <c r="G120" s="149"/>
      <c r="N120" s="149">
        <f t="shared" si="3"/>
        <v>0</v>
      </c>
    </row>
    <row r="121" spans="1:14" ht="26.25" x14ac:dyDescent="0.25">
      <c r="A121" s="4" t="s">
        <v>133</v>
      </c>
      <c r="B121" s="4" t="s">
        <v>145</v>
      </c>
      <c r="C121" s="5" t="s">
        <v>96</v>
      </c>
      <c r="D121" s="153">
        <v>14831</v>
      </c>
      <c r="E121" s="149"/>
      <c r="F121" s="149">
        <v>297</v>
      </c>
      <c r="G121" s="149">
        <v>309</v>
      </c>
      <c r="N121" s="149">
        <f t="shared" si="3"/>
        <v>606</v>
      </c>
    </row>
    <row r="122" spans="1:14" x14ac:dyDescent="0.25">
      <c r="A122" s="4" t="s">
        <v>133</v>
      </c>
      <c r="B122" s="4" t="s">
        <v>146</v>
      </c>
      <c r="C122" s="5" t="s">
        <v>79</v>
      </c>
      <c r="D122" s="153">
        <v>6199</v>
      </c>
      <c r="E122" s="149"/>
      <c r="F122" s="149">
        <v>124</v>
      </c>
      <c r="G122" s="149">
        <v>129</v>
      </c>
      <c r="N122" s="149">
        <f t="shared" si="3"/>
        <v>253</v>
      </c>
    </row>
    <row r="123" spans="1:14" x14ac:dyDescent="0.25">
      <c r="A123" s="4" t="s">
        <v>133</v>
      </c>
      <c r="B123" s="4" t="s">
        <v>100</v>
      </c>
      <c r="C123" s="5" t="s">
        <v>101</v>
      </c>
      <c r="D123" s="153"/>
      <c r="E123" s="149"/>
      <c r="F123" s="149"/>
      <c r="G123" s="149"/>
      <c r="N123" s="149">
        <f t="shared" si="3"/>
        <v>0</v>
      </c>
    </row>
    <row r="124" spans="1:14" x14ac:dyDescent="0.25">
      <c r="A124" s="4" t="s">
        <v>133</v>
      </c>
      <c r="B124" s="4" t="s">
        <v>105</v>
      </c>
      <c r="C124" s="5"/>
      <c r="D124" s="153">
        <v>10473</v>
      </c>
      <c r="E124" s="149"/>
      <c r="F124" s="149"/>
      <c r="G124" s="149"/>
      <c r="N124" s="149">
        <f t="shared" si="3"/>
        <v>0</v>
      </c>
    </row>
    <row r="125" spans="1:14" x14ac:dyDescent="0.25">
      <c r="A125" s="4" t="s">
        <v>133</v>
      </c>
      <c r="B125" s="4" t="s">
        <v>106</v>
      </c>
      <c r="C125" s="5"/>
      <c r="D125" s="153">
        <v>9609</v>
      </c>
      <c r="E125" s="149"/>
      <c r="F125" s="149"/>
      <c r="G125" s="149"/>
      <c r="N125" s="149">
        <f t="shared" si="3"/>
        <v>0</v>
      </c>
    </row>
    <row r="126" spans="1:14" x14ac:dyDescent="0.25">
      <c r="A126" s="4" t="s">
        <v>133</v>
      </c>
      <c r="B126" s="4" t="s">
        <v>147</v>
      </c>
      <c r="C126" s="5" t="s">
        <v>104</v>
      </c>
      <c r="D126" s="153"/>
      <c r="E126" s="149"/>
      <c r="F126" s="149"/>
      <c r="G126" s="149"/>
      <c r="N126" s="149">
        <f t="shared" si="3"/>
        <v>0</v>
      </c>
    </row>
    <row r="127" spans="1:14" x14ac:dyDescent="0.25">
      <c r="A127" s="16" t="s">
        <v>148</v>
      </c>
      <c r="B127" s="16" t="s">
        <v>108</v>
      </c>
      <c r="C127" s="17"/>
      <c r="D127" s="105">
        <f t="shared" ref="D127:F127" si="5">SUM(D96:D126)</f>
        <v>973373</v>
      </c>
      <c r="E127" s="149"/>
      <c r="F127" s="36">
        <f t="shared" si="5"/>
        <v>10473</v>
      </c>
      <c r="G127" s="36">
        <f>SUM(G96:G126)</f>
        <v>9609</v>
      </c>
      <c r="N127" s="149">
        <f t="shared" si="3"/>
        <v>20082</v>
      </c>
    </row>
    <row r="128" spans="1:14" x14ac:dyDescent="0.25">
      <c r="A128" s="4" t="s">
        <v>149</v>
      </c>
      <c r="B128" s="4" t="s">
        <v>56</v>
      </c>
      <c r="C128" s="5" t="s">
        <v>57</v>
      </c>
      <c r="D128" s="153">
        <v>46836</v>
      </c>
      <c r="E128" s="149"/>
      <c r="F128" s="149">
        <v>937</v>
      </c>
      <c r="G128" s="149">
        <v>976</v>
      </c>
      <c r="N128" s="149">
        <f t="shared" si="3"/>
        <v>1913</v>
      </c>
    </row>
    <row r="129" spans="1:14" x14ac:dyDescent="0.25">
      <c r="A129" s="4" t="s">
        <v>149</v>
      </c>
      <c r="B129" s="4" t="s">
        <v>150</v>
      </c>
      <c r="C129" s="5" t="s">
        <v>57</v>
      </c>
      <c r="D129" s="153"/>
      <c r="E129" s="149"/>
      <c r="F129" s="149"/>
      <c r="G129" s="149"/>
      <c r="N129" s="149">
        <f t="shared" si="3"/>
        <v>0</v>
      </c>
    </row>
    <row r="130" spans="1:14" x14ac:dyDescent="0.25">
      <c r="A130" s="4" t="s">
        <v>149</v>
      </c>
      <c r="B130" s="4" t="s">
        <v>151</v>
      </c>
      <c r="C130" s="5" t="s">
        <v>152</v>
      </c>
      <c r="D130" s="153"/>
      <c r="E130" s="149"/>
      <c r="F130" s="149"/>
      <c r="G130" s="149"/>
      <c r="N130" s="149">
        <f t="shared" si="3"/>
        <v>0</v>
      </c>
    </row>
    <row r="131" spans="1:14" x14ac:dyDescent="0.25">
      <c r="A131" s="4" t="s">
        <v>149</v>
      </c>
      <c r="B131" s="4" t="s">
        <v>98</v>
      </c>
      <c r="C131" s="5" t="s">
        <v>99</v>
      </c>
      <c r="D131" s="153"/>
      <c r="E131" s="149"/>
      <c r="F131" s="149"/>
      <c r="G131" s="149"/>
      <c r="N131" s="149">
        <f t="shared" si="3"/>
        <v>0</v>
      </c>
    </row>
    <row r="132" spans="1:14" x14ac:dyDescent="0.25">
      <c r="A132" s="4" t="s">
        <v>149</v>
      </c>
      <c r="B132" s="4" t="s">
        <v>143</v>
      </c>
      <c r="C132" s="5" t="s">
        <v>70</v>
      </c>
      <c r="D132" s="153">
        <v>14178</v>
      </c>
      <c r="E132" s="149"/>
      <c r="F132" s="149">
        <v>284</v>
      </c>
      <c r="G132" s="149">
        <v>295</v>
      </c>
      <c r="N132" s="149">
        <f t="shared" si="3"/>
        <v>579</v>
      </c>
    </row>
    <row r="133" spans="1:14" x14ac:dyDescent="0.25">
      <c r="A133" s="4" t="s">
        <v>149</v>
      </c>
      <c r="B133" s="4" t="s">
        <v>126</v>
      </c>
      <c r="C133" s="5" t="s">
        <v>73</v>
      </c>
      <c r="D133" s="153">
        <v>10115</v>
      </c>
      <c r="E133" s="149"/>
      <c r="F133" s="149">
        <v>202</v>
      </c>
      <c r="G133" s="149">
        <v>211</v>
      </c>
      <c r="N133" s="149">
        <f t="shared" si="3"/>
        <v>413</v>
      </c>
    </row>
    <row r="134" spans="1:14" x14ac:dyDescent="0.25">
      <c r="A134" s="4" t="s">
        <v>149</v>
      </c>
      <c r="B134" s="4" t="s">
        <v>77</v>
      </c>
      <c r="C134" s="5" t="s">
        <v>73</v>
      </c>
      <c r="D134" s="153">
        <v>32865</v>
      </c>
      <c r="E134" s="149"/>
      <c r="F134" s="149">
        <v>657</v>
      </c>
      <c r="G134" s="149">
        <v>685</v>
      </c>
      <c r="N134" s="149">
        <f t="shared" si="3"/>
        <v>1342</v>
      </c>
    </row>
    <row r="135" spans="1:14" x14ac:dyDescent="0.25">
      <c r="A135" s="4" t="s">
        <v>149</v>
      </c>
      <c r="B135" s="4" t="s">
        <v>153</v>
      </c>
      <c r="C135" s="68" t="s">
        <v>79</v>
      </c>
      <c r="D135" s="153">
        <v>11019</v>
      </c>
      <c r="E135" s="149"/>
      <c r="F135" s="149">
        <v>220</v>
      </c>
      <c r="G135" s="149">
        <v>230</v>
      </c>
      <c r="N135" s="149">
        <f t="shared" si="3"/>
        <v>450</v>
      </c>
    </row>
    <row r="136" spans="1:14" x14ac:dyDescent="0.25">
      <c r="A136" s="4" t="s">
        <v>149</v>
      </c>
      <c r="B136" s="4" t="s">
        <v>154</v>
      </c>
      <c r="C136" s="5" t="s">
        <v>82</v>
      </c>
      <c r="D136" s="153">
        <v>57143</v>
      </c>
      <c r="E136" s="149"/>
      <c r="F136" s="149">
        <v>1143</v>
      </c>
      <c r="G136" s="149">
        <v>1190</v>
      </c>
      <c r="N136" s="149">
        <f t="shared" si="3"/>
        <v>2333</v>
      </c>
    </row>
    <row r="137" spans="1:14" ht="26.25" x14ac:dyDescent="0.25">
      <c r="A137" s="4" t="s">
        <v>149</v>
      </c>
      <c r="B137" s="4" t="s">
        <v>83</v>
      </c>
      <c r="C137" s="5" t="s">
        <v>82</v>
      </c>
      <c r="D137" s="153">
        <v>51156</v>
      </c>
      <c r="E137" s="149"/>
      <c r="F137" s="149">
        <v>1502</v>
      </c>
      <c r="G137" s="149"/>
      <c r="N137" s="149">
        <f t="shared" ref="N137:N200" si="6">G137+F137</f>
        <v>1502</v>
      </c>
    </row>
    <row r="138" spans="1:14" x14ac:dyDescent="0.25">
      <c r="A138" s="4" t="s">
        <v>149</v>
      </c>
      <c r="B138" s="4" t="s">
        <v>85</v>
      </c>
      <c r="C138" s="5" t="s">
        <v>86</v>
      </c>
      <c r="D138" s="153">
        <v>31590</v>
      </c>
      <c r="E138" s="149"/>
      <c r="F138" s="149">
        <v>632</v>
      </c>
      <c r="G138" s="149">
        <v>658</v>
      </c>
      <c r="N138" s="149">
        <f t="shared" si="6"/>
        <v>1290</v>
      </c>
    </row>
    <row r="139" spans="1:14" ht="26.25" x14ac:dyDescent="0.25">
      <c r="A139" s="4" t="s">
        <v>149</v>
      </c>
      <c r="B139" s="4" t="s">
        <v>88</v>
      </c>
      <c r="C139" s="5" t="s">
        <v>86</v>
      </c>
      <c r="D139" s="153"/>
      <c r="E139" s="149"/>
      <c r="F139" s="149"/>
      <c r="G139" s="149"/>
      <c r="N139" s="149">
        <f t="shared" si="6"/>
        <v>0</v>
      </c>
    </row>
    <row r="140" spans="1:14" ht="26.25" x14ac:dyDescent="0.25">
      <c r="A140" s="4" t="s">
        <v>149</v>
      </c>
      <c r="B140" s="4" t="s">
        <v>89</v>
      </c>
      <c r="C140" s="5" t="s">
        <v>86</v>
      </c>
      <c r="D140" s="153"/>
      <c r="E140" s="149"/>
      <c r="F140" s="149"/>
      <c r="G140" s="149"/>
      <c r="N140" s="149">
        <f t="shared" si="6"/>
        <v>0</v>
      </c>
    </row>
    <row r="141" spans="1:14" ht="26.25" x14ac:dyDescent="0.25">
      <c r="A141" s="4" t="s">
        <v>149</v>
      </c>
      <c r="B141" s="4" t="s">
        <v>155</v>
      </c>
      <c r="C141" s="7" t="s">
        <v>156</v>
      </c>
      <c r="D141" s="153"/>
      <c r="E141" s="149"/>
      <c r="F141" s="149"/>
      <c r="G141" s="149"/>
      <c r="N141" s="149">
        <f t="shared" si="6"/>
        <v>0</v>
      </c>
    </row>
    <row r="142" spans="1:14" ht="26.25" x14ac:dyDescent="0.25">
      <c r="A142" s="4" t="s">
        <v>149</v>
      </c>
      <c r="B142" s="4" t="s">
        <v>87</v>
      </c>
      <c r="C142" s="5" t="s">
        <v>86</v>
      </c>
      <c r="D142" s="153">
        <v>4647</v>
      </c>
      <c r="E142" s="149"/>
      <c r="F142" s="149">
        <v>133</v>
      </c>
      <c r="G142" s="149"/>
      <c r="N142" s="149">
        <f t="shared" si="6"/>
        <v>133</v>
      </c>
    </row>
    <row r="143" spans="1:14" x14ac:dyDescent="0.25">
      <c r="A143" s="4" t="s">
        <v>149</v>
      </c>
      <c r="B143" s="4" t="s">
        <v>90</v>
      </c>
      <c r="C143" s="5" t="s">
        <v>86</v>
      </c>
      <c r="D143" s="153"/>
      <c r="E143" s="149"/>
      <c r="F143" s="149"/>
      <c r="G143" s="149"/>
      <c r="N143" s="149">
        <f t="shared" si="6"/>
        <v>0</v>
      </c>
    </row>
    <row r="144" spans="1:14" x14ac:dyDescent="0.25">
      <c r="A144" s="4" t="s">
        <v>149</v>
      </c>
      <c r="B144" s="4" t="s">
        <v>97</v>
      </c>
      <c r="C144" s="5" t="s">
        <v>96</v>
      </c>
      <c r="D144" s="153"/>
      <c r="E144" s="149"/>
      <c r="F144" s="149"/>
      <c r="G144" s="149"/>
      <c r="N144" s="149">
        <f t="shared" si="6"/>
        <v>0</v>
      </c>
    </row>
    <row r="145" spans="1:14" ht="26.25" x14ac:dyDescent="0.25">
      <c r="A145" s="4" t="s">
        <v>149</v>
      </c>
      <c r="B145" s="4" t="s">
        <v>157</v>
      </c>
      <c r="C145" s="5" t="s">
        <v>96</v>
      </c>
      <c r="D145" s="153"/>
      <c r="E145" s="149"/>
      <c r="F145" s="149"/>
      <c r="G145" s="149"/>
      <c r="N145" s="149">
        <f t="shared" si="6"/>
        <v>0</v>
      </c>
    </row>
    <row r="146" spans="1:14" x14ac:dyDescent="0.25">
      <c r="A146" s="4" t="s">
        <v>149</v>
      </c>
      <c r="B146" s="4" t="s">
        <v>103</v>
      </c>
      <c r="C146" s="5" t="s">
        <v>104</v>
      </c>
      <c r="D146" s="153"/>
      <c r="E146" s="149"/>
      <c r="F146" s="149"/>
      <c r="G146" s="149"/>
      <c r="N146" s="149">
        <f t="shared" si="6"/>
        <v>0</v>
      </c>
    </row>
    <row r="147" spans="1:14" ht="26.25" x14ac:dyDescent="0.25">
      <c r="A147" s="4" t="s">
        <v>149</v>
      </c>
      <c r="B147" s="4" t="s">
        <v>158</v>
      </c>
      <c r="C147" s="5" t="s">
        <v>104</v>
      </c>
      <c r="D147" s="153"/>
      <c r="E147" s="149"/>
      <c r="F147" s="149"/>
      <c r="G147" s="149"/>
      <c r="N147" s="149">
        <f t="shared" si="6"/>
        <v>0</v>
      </c>
    </row>
    <row r="148" spans="1:14" ht="26.25" x14ac:dyDescent="0.25">
      <c r="A148" s="4" t="s">
        <v>149</v>
      </c>
      <c r="B148" s="4" t="s">
        <v>159</v>
      </c>
      <c r="C148" s="6" t="s">
        <v>104</v>
      </c>
      <c r="D148" s="153"/>
      <c r="E148" s="149"/>
      <c r="F148" s="149"/>
      <c r="G148" s="149"/>
      <c r="N148" s="149">
        <f t="shared" si="6"/>
        <v>0</v>
      </c>
    </row>
    <row r="149" spans="1:14" x14ac:dyDescent="0.25">
      <c r="A149" s="4" t="s">
        <v>149</v>
      </c>
      <c r="B149" s="4" t="s">
        <v>160</v>
      </c>
      <c r="C149" s="5" t="s">
        <v>60</v>
      </c>
      <c r="D149" s="153"/>
      <c r="E149" s="149"/>
      <c r="F149" s="149"/>
      <c r="G149" s="149"/>
      <c r="N149" s="149">
        <f t="shared" si="6"/>
        <v>0</v>
      </c>
    </row>
    <row r="150" spans="1:14" x14ac:dyDescent="0.25">
      <c r="A150" s="4" t="s">
        <v>149</v>
      </c>
      <c r="B150" s="4" t="s">
        <v>162</v>
      </c>
      <c r="C150" s="5" t="s">
        <v>60</v>
      </c>
      <c r="D150" s="153"/>
      <c r="E150" s="149"/>
      <c r="F150" s="149"/>
      <c r="G150" s="149"/>
      <c r="N150" s="149">
        <f t="shared" si="6"/>
        <v>0</v>
      </c>
    </row>
    <row r="151" spans="1:14" x14ac:dyDescent="0.25">
      <c r="A151" s="4" t="s">
        <v>149</v>
      </c>
      <c r="B151" s="4" t="s">
        <v>164</v>
      </c>
      <c r="C151" s="7" t="s">
        <v>165</v>
      </c>
      <c r="D151" s="153"/>
      <c r="E151" s="149"/>
      <c r="F151" s="149"/>
      <c r="G151" s="149"/>
      <c r="N151" s="149">
        <f t="shared" si="6"/>
        <v>0</v>
      </c>
    </row>
    <row r="152" spans="1:14" ht="26.25" x14ac:dyDescent="0.25">
      <c r="A152" s="4" t="s">
        <v>149</v>
      </c>
      <c r="B152" s="4" t="s">
        <v>65</v>
      </c>
      <c r="C152" s="6" t="s">
        <v>60</v>
      </c>
      <c r="D152" s="153">
        <v>161374</v>
      </c>
      <c r="E152" s="149"/>
      <c r="F152" s="149">
        <v>3227</v>
      </c>
      <c r="G152" s="149">
        <v>3362</v>
      </c>
      <c r="N152" s="149">
        <f t="shared" si="6"/>
        <v>6589</v>
      </c>
    </row>
    <row r="153" spans="1:14" ht="26.25" x14ac:dyDescent="0.25">
      <c r="A153" s="4" t="s">
        <v>149</v>
      </c>
      <c r="B153" s="4" t="s">
        <v>168</v>
      </c>
      <c r="C153" s="5" t="s">
        <v>60</v>
      </c>
      <c r="D153" s="153"/>
      <c r="E153" s="149"/>
      <c r="F153" s="149"/>
      <c r="G153" s="149"/>
      <c r="N153" s="149">
        <f t="shared" si="6"/>
        <v>0</v>
      </c>
    </row>
    <row r="154" spans="1:14" x14ac:dyDescent="0.25">
      <c r="A154" s="4" t="s">
        <v>149</v>
      </c>
      <c r="B154" s="4" t="s">
        <v>170</v>
      </c>
      <c r="C154" s="5" t="s">
        <v>60</v>
      </c>
      <c r="D154" s="153"/>
      <c r="E154" s="149"/>
      <c r="F154" s="149"/>
      <c r="G154" s="149"/>
      <c r="N154" s="149">
        <f t="shared" si="6"/>
        <v>0</v>
      </c>
    </row>
    <row r="155" spans="1:14" ht="26.25" x14ac:dyDescent="0.25">
      <c r="A155" s="4" t="s">
        <v>149</v>
      </c>
      <c r="B155" s="4" t="s">
        <v>62</v>
      </c>
      <c r="C155" s="5" t="s">
        <v>60</v>
      </c>
      <c r="D155" s="153"/>
      <c r="E155" s="149"/>
      <c r="F155" s="149"/>
      <c r="G155" s="149"/>
      <c r="N155" s="149">
        <f t="shared" si="6"/>
        <v>0</v>
      </c>
    </row>
    <row r="156" spans="1:14" x14ac:dyDescent="0.25">
      <c r="A156" s="4" t="s">
        <v>149</v>
      </c>
      <c r="B156" s="4" t="s">
        <v>64</v>
      </c>
      <c r="C156" s="7" t="s">
        <v>60</v>
      </c>
      <c r="D156" s="72"/>
      <c r="E156" s="149"/>
      <c r="F156" s="149"/>
      <c r="G156" s="149"/>
      <c r="N156" s="149">
        <f t="shared" si="6"/>
        <v>0</v>
      </c>
    </row>
    <row r="157" spans="1:14" x14ac:dyDescent="0.25">
      <c r="A157" s="4" t="s">
        <v>149</v>
      </c>
      <c r="B157" s="4" t="s">
        <v>172</v>
      </c>
      <c r="C157" s="7" t="s">
        <v>542</v>
      </c>
      <c r="D157" s="153"/>
      <c r="E157" s="149"/>
      <c r="F157" s="149"/>
      <c r="G157" s="149"/>
      <c r="N157" s="149">
        <f t="shared" si="6"/>
        <v>0</v>
      </c>
    </row>
    <row r="158" spans="1:14" x14ac:dyDescent="0.25">
      <c r="A158" s="4" t="s">
        <v>149</v>
      </c>
      <c r="B158" s="4" t="s">
        <v>91</v>
      </c>
      <c r="C158" s="5" t="s">
        <v>86</v>
      </c>
      <c r="D158" s="153">
        <v>115800</v>
      </c>
      <c r="E158" s="149"/>
      <c r="F158" s="149"/>
      <c r="G158" s="149"/>
      <c r="N158" s="149">
        <f t="shared" si="6"/>
        <v>0</v>
      </c>
    </row>
    <row r="159" spans="1:14" ht="26.25" x14ac:dyDescent="0.25">
      <c r="A159" s="4" t="s">
        <v>149</v>
      </c>
      <c r="B159" s="4" t="s">
        <v>92</v>
      </c>
      <c r="C159" s="5" t="s">
        <v>93</v>
      </c>
      <c r="D159" s="153">
        <v>4827</v>
      </c>
      <c r="E159" s="149"/>
      <c r="F159" s="149"/>
      <c r="G159" s="149"/>
      <c r="I159" s="149">
        <f>D159+F159+G159</f>
        <v>4827</v>
      </c>
      <c r="N159" s="149">
        <f t="shared" si="6"/>
        <v>0</v>
      </c>
    </row>
    <row r="160" spans="1:14" ht="26.25" x14ac:dyDescent="0.25">
      <c r="A160" s="4" t="s">
        <v>149</v>
      </c>
      <c r="B160" s="4" t="s">
        <v>84</v>
      </c>
      <c r="C160" s="5" t="s">
        <v>82</v>
      </c>
      <c r="D160" s="153">
        <v>29016</v>
      </c>
      <c r="E160" s="149"/>
      <c r="F160" s="149"/>
      <c r="G160" s="149"/>
      <c r="N160" s="149">
        <f t="shared" si="6"/>
        <v>0</v>
      </c>
    </row>
    <row r="161" spans="1:14" x14ac:dyDescent="0.25">
      <c r="A161" s="4" t="s">
        <v>149</v>
      </c>
      <c r="B161" s="4" t="s">
        <v>100</v>
      </c>
      <c r="C161" s="5" t="s">
        <v>101</v>
      </c>
      <c r="D161" s="153"/>
      <c r="E161" s="149"/>
      <c r="F161" s="149"/>
      <c r="G161" s="149"/>
      <c r="N161" s="149">
        <f t="shared" si="6"/>
        <v>0</v>
      </c>
    </row>
    <row r="162" spans="1:14" x14ac:dyDescent="0.25">
      <c r="A162" s="4" t="s">
        <v>149</v>
      </c>
      <c r="B162" s="4" t="s">
        <v>105</v>
      </c>
      <c r="C162" s="5"/>
      <c r="D162" s="153">
        <v>8937</v>
      </c>
      <c r="E162" s="149"/>
      <c r="F162" s="149"/>
      <c r="G162" s="149"/>
      <c r="N162" s="149">
        <f t="shared" si="6"/>
        <v>0</v>
      </c>
    </row>
    <row r="163" spans="1:14" x14ac:dyDescent="0.25">
      <c r="A163" s="4" t="s">
        <v>149</v>
      </c>
      <c r="B163" s="4" t="s">
        <v>106</v>
      </c>
      <c r="C163" s="5"/>
      <c r="D163" s="153">
        <v>7607</v>
      </c>
      <c r="E163" s="149"/>
      <c r="F163" s="149"/>
      <c r="G163" s="149"/>
      <c r="N163" s="149">
        <f t="shared" si="6"/>
        <v>0</v>
      </c>
    </row>
    <row r="164" spans="1:14" x14ac:dyDescent="0.25">
      <c r="A164" s="16" t="s">
        <v>174</v>
      </c>
      <c r="B164" s="16" t="s">
        <v>108</v>
      </c>
      <c r="C164" s="17"/>
      <c r="D164" s="105">
        <f t="shared" ref="D164:G164" si="7">SUM(D128:D163)</f>
        <v>587110</v>
      </c>
      <c r="E164" s="149"/>
      <c r="F164" s="36">
        <f t="shared" si="7"/>
        <v>8937</v>
      </c>
      <c r="G164" s="36">
        <f t="shared" si="7"/>
        <v>7607</v>
      </c>
      <c r="N164" s="149">
        <f t="shared" si="6"/>
        <v>16544</v>
      </c>
    </row>
    <row r="165" spans="1:14" x14ac:dyDescent="0.25">
      <c r="A165" s="4" t="s">
        <v>175</v>
      </c>
      <c r="B165" s="4" t="s">
        <v>56</v>
      </c>
      <c r="C165" s="5" t="s">
        <v>57</v>
      </c>
      <c r="D165" s="153">
        <v>12740</v>
      </c>
      <c r="E165" s="149"/>
      <c r="F165" s="149">
        <v>255</v>
      </c>
      <c r="G165" s="149">
        <v>265</v>
      </c>
      <c r="N165" s="149">
        <f t="shared" si="6"/>
        <v>520</v>
      </c>
    </row>
    <row r="166" spans="1:14" ht="26.25" x14ac:dyDescent="0.25">
      <c r="A166" s="4" t="s">
        <v>175</v>
      </c>
      <c r="B166" s="4" t="s">
        <v>65</v>
      </c>
      <c r="C166" s="6" t="s">
        <v>60</v>
      </c>
      <c r="D166" s="153">
        <v>77669</v>
      </c>
      <c r="E166" s="149"/>
      <c r="F166" s="149">
        <v>1553</v>
      </c>
      <c r="G166" s="149">
        <v>1618</v>
      </c>
      <c r="N166" s="149">
        <f t="shared" si="6"/>
        <v>3171</v>
      </c>
    </row>
    <row r="167" spans="1:14" ht="26.25" x14ac:dyDescent="0.25">
      <c r="A167" s="4" t="s">
        <v>175</v>
      </c>
      <c r="B167" s="4" t="s">
        <v>176</v>
      </c>
      <c r="C167" s="5" t="s">
        <v>165</v>
      </c>
      <c r="D167" s="153"/>
      <c r="E167" s="149"/>
      <c r="F167" s="149"/>
      <c r="G167" s="149"/>
      <c r="N167" s="149">
        <f t="shared" si="6"/>
        <v>0</v>
      </c>
    </row>
    <row r="168" spans="1:14" ht="26.25" x14ac:dyDescent="0.25">
      <c r="A168" s="4" t="s">
        <v>175</v>
      </c>
      <c r="B168" s="4" t="s">
        <v>178</v>
      </c>
      <c r="C168" s="5" t="s">
        <v>60</v>
      </c>
      <c r="D168" s="153"/>
      <c r="E168" s="149"/>
      <c r="F168" s="149"/>
      <c r="G168" s="149"/>
      <c r="N168" s="149">
        <f t="shared" si="6"/>
        <v>0</v>
      </c>
    </row>
    <row r="169" spans="1:14" ht="26.25" x14ac:dyDescent="0.25">
      <c r="A169" s="4" t="s">
        <v>175</v>
      </c>
      <c r="B169" s="4" t="s">
        <v>62</v>
      </c>
      <c r="C169" s="5" t="s">
        <v>60</v>
      </c>
      <c r="D169" s="153"/>
      <c r="E169" s="149"/>
      <c r="F169" s="149"/>
      <c r="G169" s="149"/>
      <c r="N169" s="149">
        <f t="shared" si="6"/>
        <v>0</v>
      </c>
    </row>
    <row r="170" spans="1:14" x14ac:dyDescent="0.25">
      <c r="A170" s="4" t="s">
        <v>175</v>
      </c>
      <c r="B170" s="4" t="s">
        <v>64</v>
      </c>
      <c r="C170" s="5" t="s">
        <v>60</v>
      </c>
      <c r="D170" s="153"/>
      <c r="E170" s="149"/>
      <c r="F170" s="149"/>
      <c r="G170" s="149"/>
      <c r="N170" s="149">
        <f t="shared" si="6"/>
        <v>0</v>
      </c>
    </row>
    <row r="171" spans="1:14" x14ac:dyDescent="0.25">
      <c r="A171" s="4" t="s">
        <v>175</v>
      </c>
      <c r="B171" s="4" t="s">
        <v>179</v>
      </c>
      <c r="C171" s="5" t="s">
        <v>67</v>
      </c>
      <c r="D171" s="153">
        <v>6763</v>
      </c>
      <c r="E171" s="149"/>
      <c r="F171" s="149">
        <v>135</v>
      </c>
      <c r="G171" s="149">
        <v>141</v>
      </c>
      <c r="N171" s="149">
        <f t="shared" si="6"/>
        <v>276</v>
      </c>
    </row>
    <row r="172" spans="1:14" x14ac:dyDescent="0.25">
      <c r="A172" s="4" t="s">
        <v>175</v>
      </c>
      <c r="B172" s="4" t="s">
        <v>126</v>
      </c>
      <c r="C172" s="5" t="s">
        <v>73</v>
      </c>
      <c r="D172" s="153">
        <v>8973</v>
      </c>
      <c r="E172" s="149"/>
      <c r="F172" s="149">
        <v>179</v>
      </c>
      <c r="G172" s="149">
        <v>187</v>
      </c>
      <c r="N172" s="149">
        <f t="shared" si="6"/>
        <v>366</v>
      </c>
    </row>
    <row r="173" spans="1:14" x14ac:dyDescent="0.25">
      <c r="A173" s="4" t="s">
        <v>175</v>
      </c>
      <c r="B173" s="4" t="s">
        <v>180</v>
      </c>
      <c r="C173" s="5" t="s">
        <v>73</v>
      </c>
      <c r="D173" s="153">
        <v>3114</v>
      </c>
      <c r="E173" s="149"/>
      <c r="F173" s="149">
        <v>62</v>
      </c>
      <c r="G173" s="149">
        <v>65</v>
      </c>
      <c r="N173" s="149">
        <f t="shared" si="6"/>
        <v>127</v>
      </c>
    </row>
    <row r="174" spans="1:14" x14ac:dyDescent="0.25">
      <c r="A174" s="4" t="s">
        <v>175</v>
      </c>
      <c r="B174" s="4" t="s">
        <v>181</v>
      </c>
      <c r="C174" s="5" t="s">
        <v>82</v>
      </c>
      <c r="D174" s="153">
        <v>17159</v>
      </c>
      <c r="E174" s="149"/>
      <c r="F174" s="149">
        <v>343</v>
      </c>
      <c r="G174" s="149">
        <v>357</v>
      </c>
      <c r="N174" s="149">
        <f t="shared" si="6"/>
        <v>700</v>
      </c>
    </row>
    <row r="175" spans="1:14" ht="26.25" x14ac:dyDescent="0.25">
      <c r="A175" s="4" t="s">
        <v>175</v>
      </c>
      <c r="B175" s="4" t="s">
        <v>83</v>
      </c>
      <c r="C175" s="5" t="s">
        <v>82</v>
      </c>
      <c r="D175" s="153">
        <v>9680</v>
      </c>
      <c r="E175" s="149"/>
      <c r="F175" s="149">
        <v>290</v>
      </c>
      <c r="G175" s="149"/>
      <c r="N175" s="149">
        <f t="shared" si="6"/>
        <v>290</v>
      </c>
    </row>
    <row r="176" spans="1:14" x14ac:dyDescent="0.25">
      <c r="A176" s="4" t="s">
        <v>175</v>
      </c>
      <c r="B176" s="4" t="s">
        <v>85</v>
      </c>
      <c r="C176" s="5" t="s">
        <v>86</v>
      </c>
      <c r="D176" s="153">
        <v>16269</v>
      </c>
      <c r="E176" s="149"/>
      <c r="F176" s="149">
        <v>325</v>
      </c>
      <c r="G176" s="149">
        <v>339</v>
      </c>
      <c r="N176" s="149">
        <f t="shared" si="6"/>
        <v>664</v>
      </c>
    </row>
    <row r="177" spans="1:14" ht="26.25" x14ac:dyDescent="0.25">
      <c r="A177" s="4" t="s">
        <v>175</v>
      </c>
      <c r="B177" s="4" t="s">
        <v>88</v>
      </c>
      <c r="C177" s="5" t="s">
        <v>86</v>
      </c>
      <c r="D177" s="153"/>
      <c r="E177" s="149"/>
      <c r="F177" s="149"/>
      <c r="G177" s="149"/>
      <c r="N177" s="149">
        <f t="shared" si="6"/>
        <v>0</v>
      </c>
    </row>
    <row r="178" spans="1:14" ht="26.25" x14ac:dyDescent="0.25">
      <c r="A178" s="4" t="s">
        <v>175</v>
      </c>
      <c r="B178" s="4" t="s">
        <v>89</v>
      </c>
      <c r="C178" s="5" t="s">
        <v>86</v>
      </c>
      <c r="D178" s="153"/>
      <c r="E178" s="149"/>
      <c r="F178" s="149"/>
      <c r="G178" s="149"/>
      <c r="N178" s="149">
        <f t="shared" si="6"/>
        <v>0</v>
      </c>
    </row>
    <row r="179" spans="1:14" x14ac:dyDescent="0.25">
      <c r="A179" s="4" t="s">
        <v>175</v>
      </c>
      <c r="B179" s="4" t="s">
        <v>90</v>
      </c>
      <c r="C179" s="5" t="s">
        <v>86</v>
      </c>
      <c r="D179" s="153"/>
      <c r="E179" s="149"/>
      <c r="F179" s="149"/>
      <c r="G179" s="149"/>
      <c r="N179" s="149">
        <f t="shared" si="6"/>
        <v>0</v>
      </c>
    </row>
    <row r="180" spans="1:14" ht="26.25" x14ac:dyDescent="0.25">
      <c r="A180" s="4" t="s">
        <v>175</v>
      </c>
      <c r="B180" s="4" t="s">
        <v>87</v>
      </c>
      <c r="C180" s="5" t="s">
        <v>86</v>
      </c>
      <c r="D180" s="153">
        <v>22681</v>
      </c>
      <c r="E180" s="149"/>
      <c r="F180" s="149">
        <v>599</v>
      </c>
      <c r="G180" s="149"/>
      <c r="N180" s="149">
        <f t="shared" si="6"/>
        <v>599</v>
      </c>
    </row>
    <row r="181" spans="1:14" ht="26.25" x14ac:dyDescent="0.25">
      <c r="A181" s="4" t="s">
        <v>175</v>
      </c>
      <c r="B181" s="4" t="s">
        <v>182</v>
      </c>
      <c r="C181" s="5" t="s">
        <v>79</v>
      </c>
      <c r="D181" s="153">
        <v>9937</v>
      </c>
      <c r="E181" s="149"/>
      <c r="F181" s="149">
        <v>199</v>
      </c>
      <c r="G181" s="149">
        <v>207</v>
      </c>
      <c r="N181" s="149">
        <f t="shared" si="6"/>
        <v>406</v>
      </c>
    </row>
    <row r="182" spans="1:14" x14ac:dyDescent="0.25">
      <c r="A182" s="4" t="s">
        <v>175</v>
      </c>
      <c r="B182" s="4" t="s">
        <v>97</v>
      </c>
      <c r="C182" s="5" t="s">
        <v>96</v>
      </c>
      <c r="D182" s="153"/>
      <c r="E182" s="149"/>
      <c r="F182" s="149"/>
      <c r="G182" s="149"/>
      <c r="N182" s="149">
        <f t="shared" si="6"/>
        <v>0</v>
      </c>
    </row>
    <row r="183" spans="1:14" x14ac:dyDescent="0.25">
      <c r="A183" s="4" t="s">
        <v>175</v>
      </c>
      <c r="B183" s="4" t="s">
        <v>183</v>
      </c>
      <c r="C183" s="5" t="s">
        <v>104</v>
      </c>
      <c r="D183" s="153"/>
      <c r="E183" s="149"/>
      <c r="F183" s="149"/>
      <c r="G183" s="149"/>
      <c r="N183" s="149">
        <f t="shared" si="6"/>
        <v>0</v>
      </c>
    </row>
    <row r="184" spans="1:14" x14ac:dyDescent="0.25">
      <c r="A184" s="4" t="s">
        <v>175</v>
      </c>
      <c r="B184" s="4" t="s">
        <v>91</v>
      </c>
      <c r="C184" s="5" t="s">
        <v>86</v>
      </c>
      <c r="D184" s="153">
        <v>72248</v>
      </c>
      <c r="E184" s="149"/>
      <c r="F184" s="149"/>
      <c r="G184" s="149"/>
      <c r="N184" s="149">
        <f t="shared" si="6"/>
        <v>0</v>
      </c>
    </row>
    <row r="185" spans="1:14" ht="26.25" x14ac:dyDescent="0.25">
      <c r="A185" s="4" t="s">
        <v>175</v>
      </c>
      <c r="B185" s="4" t="s">
        <v>92</v>
      </c>
      <c r="C185" s="5" t="s">
        <v>93</v>
      </c>
      <c r="D185" s="153">
        <v>2414</v>
      </c>
      <c r="E185" s="149"/>
      <c r="F185" s="149"/>
      <c r="G185" s="149"/>
      <c r="I185" s="149">
        <f>D185+F185+G185</f>
        <v>2414</v>
      </c>
      <c r="N185" s="149">
        <f t="shared" si="6"/>
        <v>0</v>
      </c>
    </row>
    <row r="186" spans="1:14" ht="26.25" x14ac:dyDescent="0.25">
      <c r="A186" s="4" t="s">
        <v>175</v>
      </c>
      <c r="B186" s="4" t="s">
        <v>84</v>
      </c>
      <c r="C186" s="5" t="s">
        <v>82</v>
      </c>
      <c r="D186" s="153">
        <v>7256</v>
      </c>
      <c r="E186" s="149"/>
      <c r="F186" s="149"/>
      <c r="G186" s="149"/>
      <c r="N186" s="149">
        <f t="shared" si="6"/>
        <v>0</v>
      </c>
    </row>
    <row r="187" spans="1:14" x14ac:dyDescent="0.25">
      <c r="A187" s="4" t="s">
        <v>175</v>
      </c>
      <c r="B187" s="4" t="s">
        <v>100</v>
      </c>
      <c r="C187" s="5" t="s">
        <v>101</v>
      </c>
      <c r="D187" s="153"/>
      <c r="E187" s="149"/>
      <c r="F187" s="149"/>
      <c r="G187" s="149"/>
      <c r="N187" s="149">
        <f t="shared" si="6"/>
        <v>0</v>
      </c>
    </row>
    <row r="188" spans="1:14" x14ac:dyDescent="0.25">
      <c r="A188" s="4" t="s">
        <v>175</v>
      </c>
      <c r="B188" s="4" t="s">
        <v>105</v>
      </c>
      <c r="C188" s="5"/>
      <c r="D188" s="153">
        <v>3940</v>
      </c>
      <c r="E188" s="149"/>
      <c r="F188" s="149"/>
      <c r="G188" s="149"/>
      <c r="N188" s="149">
        <f t="shared" si="6"/>
        <v>0</v>
      </c>
    </row>
    <row r="189" spans="1:14" x14ac:dyDescent="0.25">
      <c r="A189" s="4" t="s">
        <v>175</v>
      </c>
      <c r="B189" s="4" t="s">
        <v>106</v>
      </c>
      <c r="C189" s="5"/>
      <c r="D189" s="153">
        <v>3179</v>
      </c>
      <c r="E189" s="149"/>
      <c r="F189" s="149"/>
      <c r="G189" s="149"/>
      <c r="N189" s="149">
        <f t="shared" si="6"/>
        <v>0</v>
      </c>
    </row>
    <row r="190" spans="1:14" x14ac:dyDescent="0.25">
      <c r="A190" s="4" t="s">
        <v>175</v>
      </c>
      <c r="B190" s="4" t="s">
        <v>98</v>
      </c>
      <c r="C190" s="5" t="s">
        <v>99</v>
      </c>
      <c r="D190" s="153"/>
      <c r="E190" s="149"/>
      <c r="F190" s="149"/>
      <c r="G190" s="149"/>
      <c r="N190" s="149">
        <f t="shared" si="6"/>
        <v>0</v>
      </c>
    </row>
    <row r="191" spans="1:14" x14ac:dyDescent="0.25">
      <c r="A191" s="16" t="s">
        <v>184</v>
      </c>
      <c r="B191" s="16" t="s">
        <v>108</v>
      </c>
      <c r="C191" s="17"/>
      <c r="D191" s="105">
        <f t="shared" ref="D191:G191" si="8">SUM(D165:D190)</f>
        <v>274022</v>
      </c>
      <c r="E191" s="149"/>
      <c r="F191" s="36">
        <f t="shared" si="8"/>
        <v>3940</v>
      </c>
      <c r="G191" s="36">
        <f t="shared" si="8"/>
        <v>3179</v>
      </c>
      <c r="N191" s="149">
        <f t="shared" si="6"/>
        <v>7119</v>
      </c>
    </row>
    <row r="192" spans="1:14" x14ac:dyDescent="0.25">
      <c r="A192" s="4" t="s">
        <v>185</v>
      </c>
      <c r="B192" s="4" t="s">
        <v>56</v>
      </c>
      <c r="C192" s="5" t="s">
        <v>57</v>
      </c>
      <c r="D192" s="153">
        <v>46213</v>
      </c>
      <c r="E192" s="149"/>
      <c r="F192" s="149">
        <v>924</v>
      </c>
      <c r="G192" s="149">
        <v>963</v>
      </c>
      <c r="N192" s="149">
        <f t="shared" si="6"/>
        <v>1887</v>
      </c>
    </row>
    <row r="193" spans="1:14" x14ac:dyDescent="0.25">
      <c r="A193" s="4" t="s">
        <v>185</v>
      </c>
      <c r="B193" s="4" t="s">
        <v>98</v>
      </c>
      <c r="C193" s="5" t="s">
        <v>99</v>
      </c>
      <c r="D193" s="153"/>
      <c r="E193" s="149"/>
      <c r="F193" s="149"/>
      <c r="G193" s="149"/>
      <c r="N193" s="149">
        <f t="shared" si="6"/>
        <v>0</v>
      </c>
    </row>
    <row r="194" spans="1:14" ht="26.25" x14ac:dyDescent="0.25">
      <c r="A194" s="4" t="s">
        <v>185</v>
      </c>
      <c r="B194" s="4" t="s">
        <v>134</v>
      </c>
      <c r="C194" s="5" t="s">
        <v>60</v>
      </c>
      <c r="D194" s="153">
        <v>168863</v>
      </c>
      <c r="E194" s="149"/>
      <c r="F194" s="149">
        <v>3377</v>
      </c>
      <c r="G194" s="149">
        <v>3518</v>
      </c>
      <c r="N194" s="149">
        <f t="shared" si="6"/>
        <v>6895</v>
      </c>
    </row>
    <row r="195" spans="1:14" x14ac:dyDescent="0.25">
      <c r="A195" s="4" t="s">
        <v>185</v>
      </c>
      <c r="B195" s="4" t="s">
        <v>164</v>
      </c>
      <c r="C195" s="5" t="s">
        <v>165</v>
      </c>
      <c r="D195" s="153"/>
      <c r="E195" s="149"/>
      <c r="F195" s="149"/>
      <c r="G195" s="149"/>
      <c r="N195" s="149">
        <f t="shared" si="6"/>
        <v>0</v>
      </c>
    </row>
    <row r="196" spans="1:14" ht="26.25" x14ac:dyDescent="0.25">
      <c r="A196" s="4" t="s">
        <v>185</v>
      </c>
      <c r="B196" s="4" t="s">
        <v>62</v>
      </c>
      <c r="C196" s="5" t="s">
        <v>60</v>
      </c>
      <c r="D196" s="153"/>
      <c r="E196" s="149"/>
      <c r="F196" s="149"/>
      <c r="G196" s="149"/>
      <c r="N196" s="149">
        <f t="shared" si="6"/>
        <v>0</v>
      </c>
    </row>
    <row r="197" spans="1:14" x14ac:dyDescent="0.25">
      <c r="A197" s="4" t="s">
        <v>185</v>
      </c>
      <c r="B197" s="4" t="s">
        <v>64</v>
      </c>
      <c r="C197" s="5" t="s">
        <v>60</v>
      </c>
      <c r="D197" s="153"/>
      <c r="E197" s="149"/>
      <c r="F197" s="149"/>
      <c r="G197" s="149"/>
      <c r="N197" s="149">
        <f t="shared" si="6"/>
        <v>0</v>
      </c>
    </row>
    <row r="198" spans="1:14" x14ac:dyDescent="0.25">
      <c r="A198" s="4" t="s">
        <v>185</v>
      </c>
      <c r="B198" s="4" t="s">
        <v>187</v>
      </c>
      <c r="C198" s="5" t="s">
        <v>73</v>
      </c>
      <c r="D198" s="153">
        <v>9002</v>
      </c>
      <c r="E198" s="149"/>
      <c r="F198" s="149">
        <v>180</v>
      </c>
      <c r="G198" s="149">
        <v>188</v>
      </c>
      <c r="N198" s="149">
        <f t="shared" si="6"/>
        <v>368</v>
      </c>
    </row>
    <row r="199" spans="1:14" x14ac:dyDescent="0.25">
      <c r="A199" s="4" t="s">
        <v>185</v>
      </c>
      <c r="B199" s="4" t="s">
        <v>188</v>
      </c>
      <c r="C199" s="5" t="s">
        <v>73</v>
      </c>
      <c r="D199" s="153">
        <v>5992</v>
      </c>
      <c r="E199" s="149"/>
      <c r="F199" s="149">
        <v>120</v>
      </c>
      <c r="G199" s="149">
        <v>125</v>
      </c>
      <c r="N199" s="149">
        <f t="shared" si="6"/>
        <v>245</v>
      </c>
    </row>
    <row r="200" spans="1:14" ht="26.25" x14ac:dyDescent="0.25">
      <c r="A200" s="4" t="s">
        <v>185</v>
      </c>
      <c r="B200" s="4" t="s">
        <v>189</v>
      </c>
      <c r="C200" s="5" t="s">
        <v>79</v>
      </c>
      <c r="D200" s="153">
        <v>15780</v>
      </c>
      <c r="E200" s="149"/>
      <c r="F200" s="149">
        <v>316</v>
      </c>
      <c r="G200" s="149">
        <v>329</v>
      </c>
      <c r="N200" s="149">
        <f t="shared" si="6"/>
        <v>645</v>
      </c>
    </row>
    <row r="201" spans="1:14" x14ac:dyDescent="0.25">
      <c r="A201" s="4" t="s">
        <v>185</v>
      </c>
      <c r="B201" s="4" t="s">
        <v>190</v>
      </c>
      <c r="C201" s="5" t="s">
        <v>82</v>
      </c>
      <c r="D201" s="153">
        <v>29513</v>
      </c>
      <c r="E201" s="149"/>
      <c r="F201" s="149">
        <v>590</v>
      </c>
      <c r="G201" s="149">
        <v>615</v>
      </c>
      <c r="N201" s="149">
        <f t="shared" ref="N201:N264" si="9">G201+F201</f>
        <v>1205</v>
      </c>
    </row>
    <row r="202" spans="1:14" ht="26.25" x14ac:dyDescent="0.25">
      <c r="A202" s="4" t="s">
        <v>185</v>
      </c>
      <c r="B202" s="4" t="s">
        <v>83</v>
      </c>
      <c r="C202" s="5" t="s">
        <v>82</v>
      </c>
      <c r="D202" s="153">
        <v>36088</v>
      </c>
      <c r="E202" s="149"/>
      <c r="F202" s="149">
        <v>1083</v>
      </c>
      <c r="G202" s="149"/>
      <c r="N202" s="149">
        <f t="shared" si="9"/>
        <v>1083</v>
      </c>
    </row>
    <row r="203" spans="1:14" x14ac:dyDescent="0.25">
      <c r="A203" s="4" t="s">
        <v>185</v>
      </c>
      <c r="B203" s="4" t="s">
        <v>191</v>
      </c>
      <c r="C203" s="5" t="s">
        <v>86</v>
      </c>
      <c r="D203" s="153">
        <v>40666</v>
      </c>
      <c r="E203" s="149"/>
      <c r="F203" s="149">
        <v>813</v>
      </c>
      <c r="G203" s="149">
        <v>847</v>
      </c>
      <c r="N203" s="149">
        <f t="shared" si="9"/>
        <v>1660</v>
      </c>
    </row>
    <row r="204" spans="1:14" ht="26.25" x14ac:dyDescent="0.25">
      <c r="A204" s="4" t="s">
        <v>185</v>
      </c>
      <c r="B204" s="4" t="s">
        <v>88</v>
      </c>
      <c r="C204" s="5" t="s">
        <v>86</v>
      </c>
      <c r="D204" s="153"/>
      <c r="E204" s="149"/>
      <c r="F204" s="149"/>
      <c r="G204" s="149"/>
      <c r="N204" s="149">
        <f t="shared" si="9"/>
        <v>0</v>
      </c>
    </row>
    <row r="205" spans="1:14" ht="26.25" x14ac:dyDescent="0.25">
      <c r="A205" s="4" t="s">
        <v>185</v>
      </c>
      <c r="B205" s="4" t="s">
        <v>89</v>
      </c>
      <c r="C205" s="5" t="s">
        <v>86</v>
      </c>
      <c r="D205" s="153"/>
      <c r="E205" s="149"/>
      <c r="F205" s="149"/>
      <c r="G205" s="149"/>
      <c r="N205" s="149">
        <f t="shared" si="9"/>
        <v>0</v>
      </c>
    </row>
    <row r="206" spans="1:14" ht="26.25" x14ac:dyDescent="0.25">
      <c r="A206" s="4" t="s">
        <v>185</v>
      </c>
      <c r="B206" s="4" t="s">
        <v>192</v>
      </c>
      <c r="C206" s="6" t="s">
        <v>86</v>
      </c>
      <c r="D206" s="153">
        <v>7811</v>
      </c>
      <c r="E206" s="149"/>
      <c r="F206" s="149">
        <v>234</v>
      </c>
      <c r="G206" s="149"/>
      <c r="N206" s="149">
        <f t="shared" si="9"/>
        <v>234</v>
      </c>
    </row>
    <row r="207" spans="1:14" x14ac:dyDescent="0.25">
      <c r="A207" s="4" t="s">
        <v>185</v>
      </c>
      <c r="B207" s="4" t="s">
        <v>118</v>
      </c>
      <c r="C207" s="5" t="s">
        <v>119</v>
      </c>
      <c r="D207" s="153">
        <v>143177</v>
      </c>
      <c r="E207" s="149"/>
      <c r="F207" s="149">
        <v>2865</v>
      </c>
      <c r="G207" s="149">
        <v>2983</v>
      </c>
      <c r="N207" s="149">
        <f t="shared" si="9"/>
        <v>5848</v>
      </c>
    </row>
    <row r="208" spans="1:14" ht="39" x14ac:dyDescent="0.25">
      <c r="A208" s="4" t="s">
        <v>185</v>
      </c>
      <c r="B208" s="4" t="s">
        <v>120</v>
      </c>
      <c r="C208" s="5" t="s">
        <v>119</v>
      </c>
      <c r="D208" s="153"/>
      <c r="E208" s="149"/>
      <c r="F208" s="149"/>
      <c r="G208" s="149"/>
      <c r="N208" s="149">
        <f t="shared" si="9"/>
        <v>0</v>
      </c>
    </row>
    <row r="209" spans="1:14" ht="26.25" x14ac:dyDescent="0.25">
      <c r="A209" s="4" t="s">
        <v>185</v>
      </c>
      <c r="B209" s="4" t="s">
        <v>121</v>
      </c>
      <c r="C209" s="5" t="s">
        <v>119</v>
      </c>
      <c r="D209" s="153"/>
      <c r="E209" s="149"/>
      <c r="F209" s="149"/>
      <c r="G209" s="149"/>
      <c r="N209" s="149">
        <f t="shared" si="9"/>
        <v>0</v>
      </c>
    </row>
    <row r="210" spans="1:14" x14ac:dyDescent="0.25">
      <c r="A210" s="4" t="s">
        <v>185</v>
      </c>
      <c r="B210" s="4" t="s">
        <v>69</v>
      </c>
      <c r="C210" s="5" t="s">
        <v>70</v>
      </c>
      <c r="D210" s="153">
        <v>6095</v>
      </c>
      <c r="E210" s="149"/>
      <c r="F210" s="149">
        <v>122</v>
      </c>
      <c r="G210" s="149">
        <v>127</v>
      </c>
      <c r="N210" s="149">
        <f t="shared" si="9"/>
        <v>249</v>
      </c>
    </row>
    <row r="211" spans="1:14" x14ac:dyDescent="0.25">
      <c r="A211" s="4" t="s">
        <v>185</v>
      </c>
      <c r="B211" s="4" t="s">
        <v>77</v>
      </c>
      <c r="C211" s="5" t="s">
        <v>73</v>
      </c>
      <c r="D211" s="153">
        <v>24115</v>
      </c>
      <c r="E211" s="149"/>
      <c r="F211" s="149">
        <v>482</v>
      </c>
      <c r="G211" s="149">
        <v>502</v>
      </c>
      <c r="N211" s="149">
        <f t="shared" si="9"/>
        <v>984</v>
      </c>
    </row>
    <row r="212" spans="1:14" x14ac:dyDescent="0.25">
      <c r="A212" s="4" t="s">
        <v>185</v>
      </c>
      <c r="B212" s="4" t="s">
        <v>97</v>
      </c>
      <c r="C212" s="5" t="s">
        <v>96</v>
      </c>
      <c r="D212" s="153"/>
      <c r="E212" s="149"/>
      <c r="F212" s="149"/>
      <c r="G212" s="149"/>
      <c r="N212" s="149">
        <f t="shared" si="9"/>
        <v>0</v>
      </c>
    </row>
    <row r="213" spans="1:14" x14ac:dyDescent="0.25">
      <c r="A213" s="4" t="s">
        <v>185</v>
      </c>
      <c r="B213" s="4" t="s">
        <v>116</v>
      </c>
      <c r="C213" s="6" t="s">
        <v>96</v>
      </c>
      <c r="D213" s="153">
        <v>45516</v>
      </c>
      <c r="E213" s="149"/>
      <c r="F213" s="149">
        <v>910</v>
      </c>
      <c r="G213" s="149">
        <v>948</v>
      </c>
      <c r="N213" s="149">
        <f t="shared" si="9"/>
        <v>1858</v>
      </c>
    </row>
    <row r="214" spans="1:14" ht="26.25" x14ac:dyDescent="0.25">
      <c r="A214" s="4" t="s">
        <v>185</v>
      </c>
      <c r="B214" s="4" t="s">
        <v>194</v>
      </c>
      <c r="C214" s="6" t="s">
        <v>96</v>
      </c>
      <c r="D214" s="153"/>
      <c r="E214" s="149"/>
      <c r="F214" s="149"/>
      <c r="G214" s="149"/>
      <c r="N214" s="149">
        <f t="shared" si="9"/>
        <v>0</v>
      </c>
    </row>
    <row r="215" spans="1:14" ht="26.25" x14ac:dyDescent="0.25">
      <c r="A215" s="4" t="s">
        <v>185</v>
      </c>
      <c r="B215" s="4" t="s">
        <v>195</v>
      </c>
      <c r="C215" s="5" t="s">
        <v>73</v>
      </c>
      <c r="D215" s="153"/>
      <c r="E215" s="149"/>
      <c r="F215" s="149"/>
      <c r="G215" s="149"/>
      <c r="N215" s="149">
        <f t="shared" si="9"/>
        <v>0</v>
      </c>
    </row>
    <row r="216" spans="1:14" x14ac:dyDescent="0.25">
      <c r="A216" s="4" t="s">
        <v>185</v>
      </c>
      <c r="B216" s="4" t="s">
        <v>91</v>
      </c>
      <c r="C216" s="5" t="s">
        <v>86</v>
      </c>
      <c r="D216" s="153">
        <v>192688</v>
      </c>
      <c r="E216" s="149"/>
      <c r="F216" s="149"/>
      <c r="G216" s="149"/>
      <c r="N216" s="149">
        <f t="shared" si="9"/>
        <v>0</v>
      </c>
    </row>
    <row r="217" spans="1:14" ht="26.25" x14ac:dyDescent="0.25">
      <c r="A217" s="4" t="s">
        <v>185</v>
      </c>
      <c r="B217" s="4" t="s">
        <v>92</v>
      </c>
      <c r="C217" s="5" t="s">
        <v>93</v>
      </c>
      <c r="D217" s="153">
        <v>6997</v>
      </c>
      <c r="E217" s="149"/>
      <c r="F217" s="149"/>
      <c r="G217" s="149"/>
      <c r="I217" s="149"/>
      <c r="K217" s="149"/>
      <c r="N217" s="149">
        <f t="shared" si="9"/>
        <v>0</v>
      </c>
    </row>
    <row r="218" spans="1:14" ht="26.25" x14ac:dyDescent="0.25">
      <c r="A218" s="4" t="s">
        <v>185</v>
      </c>
      <c r="B218" s="4" t="s">
        <v>196</v>
      </c>
      <c r="C218" s="5" t="s">
        <v>93</v>
      </c>
      <c r="D218" s="153">
        <v>1047</v>
      </c>
      <c r="E218" s="149"/>
      <c r="F218" s="149"/>
      <c r="G218" s="149"/>
      <c r="I218" s="149"/>
      <c r="K218" s="149"/>
      <c r="N218" s="149">
        <f t="shared" si="9"/>
        <v>0</v>
      </c>
    </row>
    <row r="219" spans="1:14" ht="26.25" x14ac:dyDescent="0.25">
      <c r="A219" s="4" t="s">
        <v>185</v>
      </c>
      <c r="B219" s="4" t="s">
        <v>84</v>
      </c>
      <c r="C219" s="5" t="s">
        <v>82</v>
      </c>
      <c r="D219" s="153">
        <v>26400</v>
      </c>
      <c r="E219" s="149"/>
      <c r="F219" s="149"/>
      <c r="G219" s="149"/>
      <c r="N219" s="149">
        <f t="shared" si="9"/>
        <v>0</v>
      </c>
    </row>
    <row r="220" spans="1:14" x14ac:dyDescent="0.25">
      <c r="A220" s="4" t="s">
        <v>185</v>
      </c>
      <c r="B220" s="4" t="s">
        <v>100</v>
      </c>
      <c r="C220" s="5" t="s">
        <v>101</v>
      </c>
      <c r="D220" s="153"/>
      <c r="E220" s="149"/>
      <c r="F220" s="149"/>
      <c r="G220" s="149"/>
      <c r="N220" s="149">
        <f t="shared" si="9"/>
        <v>0</v>
      </c>
    </row>
    <row r="221" spans="1:14" x14ac:dyDescent="0.25">
      <c r="A221" s="4" t="s">
        <v>185</v>
      </c>
      <c r="B221" s="4" t="s">
        <v>105</v>
      </c>
      <c r="C221" s="5"/>
      <c r="D221" s="153">
        <v>12016</v>
      </c>
      <c r="E221" s="149"/>
      <c r="F221" s="149"/>
      <c r="G221" s="149"/>
      <c r="N221" s="149">
        <f t="shared" si="9"/>
        <v>0</v>
      </c>
    </row>
    <row r="222" spans="1:14" x14ac:dyDescent="0.25">
      <c r="A222" s="4" t="s">
        <v>185</v>
      </c>
      <c r="B222" s="4" t="s">
        <v>106</v>
      </c>
      <c r="C222" s="5"/>
      <c r="D222" s="153">
        <v>11145</v>
      </c>
      <c r="E222" s="149"/>
      <c r="F222" s="149"/>
      <c r="G222" s="149"/>
      <c r="N222" s="149">
        <f t="shared" si="9"/>
        <v>0</v>
      </c>
    </row>
    <row r="223" spans="1:14" x14ac:dyDescent="0.25">
      <c r="A223" s="4" t="s">
        <v>185</v>
      </c>
      <c r="B223" s="4" t="s">
        <v>183</v>
      </c>
      <c r="C223" s="5" t="s">
        <v>104</v>
      </c>
      <c r="D223" s="153"/>
      <c r="E223" s="149"/>
      <c r="F223" s="149"/>
      <c r="G223" s="149"/>
      <c r="N223" s="149">
        <f t="shared" si="9"/>
        <v>0</v>
      </c>
    </row>
    <row r="224" spans="1:14" x14ac:dyDescent="0.25">
      <c r="A224" s="4" t="s">
        <v>185</v>
      </c>
      <c r="B224" s="4" t="s">
        <v>90</v>
      </c>
      <c r="C224" s="5" t="s">
        <v>86</v>
      </c>
      <c r="D224" s="153"/>
      <c r="E224" s="149"/>
      <c r="F224" s="149"/>
      <c r="G224" s="149"/>
      <c r="N224" s="149">
        <f t="shared" si="9"/>
        <v>0</v>
      </c>
    </row>
    <row r="225" spans="1:14" x14ac:dyDescent="0.25">
      <c r="A225" s="4" t="s">
        <v>185</v>
      </c>
      <c r="B225" s="4" t="s">
        <v>197</v>
      </c>
      <c r="C225" s="5" t="s">
        <v>198</v>
      </c>
      <c r="D225" s="153"/>
      <c r="E225" s="149"/>
      <c r="F225" s="149"/>
      <c r="G225" s="149"/>
      <c r="N225" s="149">
        <f t="shared" si="9"/>
        <v>0</v>
      </c>
    </row>
    <row r="226" spans="1:14" ht="51.75" x14ac:dyDescent="0.25">
      <c r="A226" s="4" t="s">
        <v>185</v>
      </c>
      <c r="B226" s="4" t="s">
        <v>199</v>
      </c>
      <c r="C226" s="5" t="s">
        <v>60</v>
      </c>
      <c r="D226" s="153"/>
      <c r="E226" s="149"/>
      <c r="F226" s="149"/>
      <c r="G226" s="149"/>
      <c r="N226" s="149">
        <f t="shared" si="9"/>
        <v>0</v>
      </c>
    </row>
    <row r="227" spans="1:14" x14ac:dyDescent="0.25">
      <c r="A227" s="16" t="s">
        <v>200</v>
      </c>
      <c r="B227" s="16" t="s">
        <v>108</v>
      </c>
      <c r="C227" s="17"/>
      <c r="D227" s="105">
        <f t="shared" ref="D227:G227" si="10">SUM(D192:D226)</f>
        <v>829124</v>
      </c>
      <c r="E227" s="149"/>
      <c r="F227" s="36">
        <f t="shared" si="10"/>
        <v>12016</v>
      </c>
      <c r="G227" s="36">
        <f t="shared" si="10"/>
        <v>11145</v>
      </c>
      <c r="N227" s="149">
        <f t="shared" si="9"/>
        <v>23161</v>
      </c>
    </row>
    <row r="228" spans="1:14" x14ac:dyDescent="0.25">
      <c r="A228" s="4" t="s">
        <v>201</v>
      </c>
      <c r="B228" s="11" t="s">
        <v>56</v>
      </c>
      <c r="C228" s="5" t="s">
        <v>57</v>
      </c>
      <c r="D228" s="153">
        <v>49520</v>
      </c>
      <c r="E228" s="149"/>
      <c r="F228" s="149">
        <v>990</v>
      </c>
      <c r="G228" s="149">
        <v>1032</v>
      </c>
      <c r="N228" s="149">
        <f t="shared" si="9"/>
        <v>2022</v>
      </c>
    </row>
    <row r="229" spans="1:14" x14ac:dyDescent="0.25">
      <c r="A229" s="4" t="s">
        <v>201</v>
      </c>
      <c r="B229" s="11" t="s">
        <v>98</v>
      </c>
      <c r="C229" s="5" t="s">
        <v>99</v>
      </c>
      <c r="D229" s="153"/>
      <c r="E229" s="149"/>
      <c r="F229" s="149"/>
      <c r="G229" s="149"/>
      <c r="N229" s="149">
        <f t="shared" si="9"/>
        <v>0</v>
      </c>
    </row>
    <row r="230" spans="1:14" ht="26.25" x14ac:dyDescent="0.25">
      <c r="A230" s="11" t="s">
        <v>201</v>
      </c>
      <c r="B230" s="11" t="s">
        <v>65</v>
      </c>
      <c r="C230" s="5" t="s">
        <v>60</v>
      </c>
      <c r="D230" s="153">
        <v>120589</v>
      </c>
      <c r="E230" s="149"/>
      <c r="F230" s="149">
        <v>2412</v>
      </c>
      <c r="G230" s="149">
        <v>2512</v>
      </c>
      <c r="N230" s="149">
        <f t="shared" si="9"/>
        <v>4924</v>
      </c>
    </row>
    <row r="231" spans="1:14" ht="26.25" x14ac:dyDescent="0.25">
      <c r="A231" s="11" t="s">
        <v>201</v>
      </c>
      <c r="B231" s="11" t="s">
        <v>62</v>
      </c>
      <c r="C231" s="5" t="s">
        <v>60</v>
      </c>
      <c r="D231" s="153"/>
      <c r="E231" s="149"/>
      <c r="F231" s="149"/>
      <c r="G231" s="149"/>
      <c r="N231" s="149">
        <f t="shared" si="9"/>
        <v>0</v>
      </c>
    </row>
    <row r="232" spans="1:14" x14ac:dyDescent="0.25">
      <c r="A232" s="11" t="s">
        <v>201</v>
      </c>
      <c r="B232" s="11" t="s">
        <v>64</v>
      </c>
      <c r="C232" s="5" t="s">
        <v>60</v>
      </c>
      <c r="D232" s="153"/>
      <c r="E232" s="149"/>
      <c r="F232" s="149"/>
      <c r="G232" s="149"/>
      <c r="N232" s="149">
        <f t="shared" si="9"/>
        <v>0</v>
      </c>
    </row>
    <row r="233" spans="1:14" x14ac:dyDescent="0.25">
      <c r="A233" s="4" t="s">
        <v>201</v>
      </c>
      <c r="B233" s="11" t="s">
        <v>202</v>
      </c>
      <c r="C233" s="5" t="s">
        <v>67</v>
      </c>
      <c r="D233" s="153">
        <v>10129</v>
      </c>
      <c r="E233" s="149"/>
      <c r="F233" s="149">
        <v>203</v>
      </c>
      <c r="G233" s="149">
        <v>211</v>
      </c>
      <c r="N233" s="149">
        <f t="shared" si="9"/>
        <v>414</v>
      </c>
    </row>
    <row r="234" spans="1:14" x14ac:dyDescent="0.25">
      <c r="A234" s="4" t="s">
        <v>201</v>
      </c>
      <c r="B234" s="11" t="s">
        <v>203</v>
      </c>
      <c r="C234" s="5" t="s">
        <v>73</v>
      </c>
      <c r="D234" s="153">
        <v>8083</v>
      </c>
      <c r="E234" s="149"/>
      <c r="F234" s="149">
        <v>162</v>
      </c>
      <c r="G234" s="149">
        <v>168</v>
      </c>
      <c r="N234" s="149">
        <f t="shared" si="9"/>
        <v>330</v>
      </c>
    </row>
    <row r="235" spans="1:14" x14ac:dyDescent="0.25">
      <c r="A235" s="4" t="s">
        <v>201</v>
      </c>
      <c r="B235" s="11" t="s">
        <v>204</v>
      </c>
      <c r="C235" s="5" t="s">
        <v>73</v>
      </c>
      <c r="D235" s="153">
        <v>5339</v>
      </c>
      <c r="E235" s="149"/>
      <c r="F235" s="149">
        <v>107</v>
      </c>
      <c r="G235" s="149">
        <v>111</v>
      </c>
      <c r="N235" s="149">
        <f t="shared" si="9"/>
        <v>218</v>
      </c>
    </row>
    <row r="236" spans="1:14" x14ac:dyDescent="0.25">
      <c r="A236" s="11" t="s">
        <v>201</v>
      </c>
      <c r="B236" s="11" t="s">
        <v>77</v>
      </c>
      <c r="C236" s="12" t="s">
        <v>73</v>
      </c>
      <c r="D236" s="153">
        <v>20644</v>
      </c>
      <c r="E236" s="149"/>
      <c r="F236" s="149">
        <v>413</v>
      </c>
      <c r="G236" s="149">
        <v>430</v>
      </c>
      <c r="N236" s="149">
        <f t="shared" si="9"/>
        <v>843</v>
      </c>
    </row>
    <row r="237" spans="1:14" ht="26.25" x14ac:dyDescent="0.25">
      <c r="A237" s="4" t="s">
        <v>201</v>
      </c>
      <c r="B237" s="11" t="s">
        <v>205</v>
      </c>
      <c r="C237" s="5" t="s">
        <v>156</v>
      </c>
      <c r="D237" s="153"/>
      <c r="E237" s="149"/>
      <c r="F237" s="149"/>
      <c r="G237" s="149"/>
      <c r="N237" s="149">
        <f t="shared" si="9"/>
        <v>0</v>
      </c>
    </row>
    <row r="238" spans="1:14" ht="26.25" x14ac:dyDescent="0.25">
      <c r="A238" s="4" t="s">
        <v>201</v>
      </c>
      <c r="B238" s="4" t="s">
        <v>206</v>
      </c>
      <c r="C238" s="5" t="s">
        <v>82</v>
      </c>
      <c r="D238" s="153">
        <v>29879</v>
      </c>
      <c r="E238" s="149"/>
      <c r="F238" s="149">
        <v>872</v>
      </c>
      <c r="G238" s="149"/>
      <c r="N238" s="149">
        <f t="shared" si="9"/>
        <v>872</v>
      </c>
    </row>
    <row r="239" spans="1:14" x14ac:dyDescent="0.25">
      <c r="A239" s="4" t="s">
        <v>201</v>
      </c>
      <c r="B239" s="11" t="s">
        <v>181</v>
      </c>
      <c r="C239" s="5" t="s">
        <v>82</v>
      </c>
      <c r="D239" s="153">
        <v>44418</v>
      </c>
      <c r="E239" s="149"/>
      <c r="F239" s="149">
        <v>888</v>
      </c>
      <c r="G239" s="149">
        <v>925</v>
      </c>
      <c r="N239" s="149">
        <f t="shared" si="9"/>
        <v>1813</v>
      </c>
    </row>
    <row r="240" spans="1:14" x14ac:dyDescent="0.25">
      <c r="A240" s="4" t="s">
        <v>201</v>
      </c>
      <c r="B240" s="11" t="s">
        <v>85</v>
      </c>
      <c r="C240" s="5" t="s">
        <v>86</v>
      </c>
      <c r="D240" s="153">
        <v>8557</v>
      </c>
      <c r="E240" s="149"/>
      <c r="F240" s="149">
        <v>171</v>
      </c>
      <c r="G240" s="149">
        <v>178</v>
      </c>
      <c r="N240" s="149">
        <f t="shared" si="9"/>
        <v>349</v>
      </c>
    </row>
    <row r="241" spans="1:14" ht="26.25" x14ac:dyDescent="0.25">
      <c r="A241" s="4" t="s">
        <v>201</v>
      </c>
      <c r="B241" s="11" t="s">
        <v>207</v>
      </c>
      <c r="C241" s="13" t="s">
        <v>86</v>
      </c>
      <c r="D241" s="153"/>
      <c r="E241" s="149"/>
      <c r="F241" s="149"/>
      <c r="G241" s="149"/>
      <c r="N241" s="149">
        <f t="shared" si="9"/>
        <v>0</v>
      </c>
    </row>
    <row r="242" spans="1:14" ht="26.25" x14ac:dyDescent="0.25">
      <c r="A242" s="4" t="s">
        <v>201</v>
      </c>
      <c r="B242" s="4" t="s">
        <v>88</v>
      </c>
      <c r="C242" s="5" t="s">
        <v>86</v>
      </c>
      <c r="D242" s="153"/>
      <c r="E242" s="149"/>
      <c r="F242" s="149"/>
      <c r="G242" s="149"/>
      <c r="N242" s="149">
        <f t="shared" si="9"/>
        <v>0</v>
      </c>
    </row>
    <row r="243" spans="1:14" ht="26.25" x14ac:dyDescent="0.25">
      <c r="A243" s="4" t="s">
        <v>201</v>
      </c>
      <c r="B243" s="4" t="s">
        <v>89</v>
      </c>
      <c r="C243" s="5" t="s">
        <v>86</v>
      </c>
      <c r="D243" s="153"/>
      <c r="E243" s="149"/>
      <c r="F243" s="149"/>
      <c r="G243" s="149"/>
      <c r="N243" s="149">
        <f t="shared" si="9"/>
        <v>0</v>
      </c>
    </row>
    <row r="244" spans="1:14" ht="26.25" x14ac:dyDescent="0.25">
      <c r="A244" s="4" t="s">
        <v>201</v>
      </c>
      <c r="B244" s="4" t="s">
        <v>87</v>
      </c>
      <c r="C244" s="5" t="s">
        <v>86</v>
      </c>
      <c r="D244" s="153">
        <v>20219</v>
      </c>
      <c r="E244" s="149"/>
      <c r="F244" s="149">
        <v>534</v>
      </c>
      <c r="G244" s="149"/>
      <c r="N244" s="149">
        <f t="shared" si="9"/>
        <v>534</v>
      </c>
    </row>
    <row r="245" spans="1:14" x14ac:dyDescent="0.25">
      <c r="A245" s="4" t="s">
        <v>201</v>
      </c>
      <c r="B245" s="11" t="s">
        <v>90</v>
      </c>
      <c r="C245" s="5" t="s">
        <v>86</v>
      </c>
      <c r="D245" s="153"/>
      <c r="E245" s="149"/>
      <c r="F245" s="149"/>
      <c r="G245" s="149"/>
      <c r="N245" s="149">
        <f t="shared" si="9"/>
        <v>0</v>
      </c>
    </row>
    <row r="246" spans="1:14" ht="26.25" x14ac:dyDescent="0.25">
      <c r="A246" s="4" t="s">
        <v>201</v>
      </c>
      <c r="B246" s="11" t="s">
        <v>208</v>
      </c>
      <c r="C246" s="5" t="s">
        <v>96</v>
      </c>
      <c r="D246" s="153"/>
      <c r="E246" s="149"/>
      <c r="F246" s="149"/>
      <c r="G246" s="149"/>
      <c r="N246" s="149">
        <f t="shared" si="9"/>
        <v>0</v>
      </c>
    </row>
    <row r="247" spans="1:14" ht="39" x14ac:dyDescent="0.25">
      <c r="A247" s="4" t="s">
        <v>201</v>
      </c>
      <c r="B247" s="11" t="s">
        <v>209</v>
      </c>
      <c r="C247" s="5" t="s">
        <v>96</v>
      </c>
      <c r="D247" s="153"/>
      <c r="E247" s="149"/>
      <c r="F247" s="149"/>
      <c r="G247" s="149"/>
      <c r="N247" s="149">
        <f t="shared" si="9"/>
        <v>0</v>
      </c>
    </row>
    <row r="248" spans="1:14" x14ac:dyDescent="0.25">
      <c r="A248" s="4" t="s">
        <v>201</v>
      </c>
      <c r="B248" s="11" t="s">
        <v>116</v>
      </c>
      <c r="C248" s="6" t="s">
        <v>96</v>
      </c>
      <c r="D248" s="153">
        <v>33918</v>
      </c>
      <c r="E248" s="149"/>
      <c r="F248" s="149">
        <v>678</v>
      </c>
      <c r="G248" s="149">
        <v>707</v>
      </c>
      <c r="N248" s="149">
        <f t="shared" si="9"/>
        <v>1385</v>
      </c>
    </row>
    <row r="249" spans="1:14" x14ac:dyDescent="0.25">
      <c r="A249" s="11" t="s">
        <v>201</v>
      </c>
      <c r="B249" s="11" t="s">
        <v>113</v>
      </c>
      <c r="C249" s="14" t="s">
        <v>79</v>
      </c>
      <c r="D249" s="153">
        <v>6466</v>
      </c>
      <c r="E249" s="149"/>
      <c r="F249" s="149">
        <v>129</v>
      </c>
      <c r="G249" s="149">
        <v>135</v>
      </c>
      <c r="N249" s="149">
        <f t="shared" si="9"/>
        <v>264</v>
      </c>
    </row>
    <row r="250" spans="1:14" x14ac:dyDescent="0.25">
      <c r="A250" s="4" t="s">
        <v>201</v>
      </c>
      <c r="B250" s="11" t="s">
        <v>69</v>
      </c>
      <c r="C250" s="5" t="s">
        <v>70</v>
      </c>
      <c r="D250" s="153">
        <v>1780</v>
      </c>
      <c r="E250" s="149"/>
      <c r="F250" s="149">
        <v>36</v>
      </c>
      <c r="G250" s="149">
        <v>37</v>
      </c>
      <c r="N250" s="149">
        <f t="shared" si="9"/>
        <v>73</v>
      </c>
    </row>
    <row r="251" spans="1:14" x14ac:dyDescent="0.25">
      <c r="A251" s="4" t="s">
        <v>201</v>
      </c>
      <c r="B251" s="11" t="s">
        <v>210</v>
      </c>
      <c r="C251" s="5" t="s">
        <v>104</v>
      </c>
      <c r="D251" s="153"/>
      <c r="E251" s="149"/>
      <c r="F251" s="149"/>
      <c r="G251" s="149"/>
      <c r="N251" s="149">
        <f t="shared" si="9"/>
        <v>0</v>
      </c>
    </row>
    <row r="252" spans="1:14" x14ac:dyDescent="0.25">
      <c r="A252" s="4" t="s">
        <v>201</v>
      </c>
      <c r="B252" s="4" t="s">
        <v>91</v>
      </c>
      <c r="C252" s="5" t="s">
        <v>86</v>
      </c>
      <c r="D252" s="153">
        <v>84632</v>
      </c>
      <c r="E252" s="149"/>
      <c r="F252" s="149"/>
      <c r="G252" s="149"/>
      <c r="N252" s="149">
        <f t="shared" si="9"/>
        <v>0</v>
      </c>
    </row>
    <row r="253" spans="1:14" ht="26.25" x14ac:dyDescent="0.25">
      <c r="A253" s="4" t="s">
        <v>201</v>
      </c>
      <c r="B253" s="4" t="s">
        <v>92</v>
      </c>
      <c r="C253" s="5" t="s">
        <v>93</v>
      </c>
      <c r="D253" s="153">
        <v>6435</v>
      </c>
      <c r="E253" s="149"/>
      <c r="F253" s="149"/>
      <c r="G253" s="149"/>
      <c r="I253" s="149">
        <f>D253+F253+G253</f>
        <v>6435</v>
      </c>
      <c r="K253" s="149">
        <f>I253-D253</f>
        <v>0</v>
      </c>
      <c r="N253" s="149">
        <f t="shared" si="9"/>
        <v>0</v>
      </c>
    </row>
    <row r="254" spans="1:14" ht="26.25" x14ac:dyDescent="0.25">
      <c r="A254" s="4" t="s">
        <v>201</v>
      </c>
      <c r="B254" s="4" t="s">
        <v>84</v>
      </c>
      <c r="C254" s="5" t="s">
        <v>82</v>
      </c>
      <c r="D254" s="153">
        <v>23136</v>
      </c>
      <c r="E254" s="149"/>
      <c r="F254" s="149"/>
      <c r="G254" s="149"/>
      <c r="N254" s="149">
        <f t="shared" si="9"/>
        <v>0</v>
      </c>
    </row>
    <row r="255" spans="1:14" x14ac:dyDescent="0.25">
      <c r="A255" s="4" t="s">
        <v>201</v>
      </c>
      <c r="B255" s="4" t="s">
        <v>100</v>
      </c>
      <c r="C255" s="5" t="s">
        <v>101</v>
      </c>
      <c r="D255" s="153"/>
      <c r="E255" s="149"/>
      <c r="F255" s="149"/>
      <c r="G255" s="149"/>
      <c r="N255" s="149">
        <f t="shared" si="9"/>
        <v>0</v>
      </c>
    </row>
    <row r="256" spans="1:14" x14ac:dyDescent="0.25">
      <c r="A256" s="4" t="s">
        <v>201</v>
      </c>
      <c r="B256" s="4" t="s">
        <v>105</v>
      </c>
      <c r="C256" s="5"/>
      <c r="D256" s="153">
        <v>9865</v>
      </c>
      <c r="E256" s="149"/>
      <c r="F256" s="149"/>
      <c r="G256" s="149"/>
      <c r="N256" s="149">
        <f t="shared" si="9"/>
        <v>0</v>
      </c>
    </row>
    <row r="257" spans="1:14" x14ac:dyDescent="0.25">
      <c r="A257" s="4" t="s">
        <v>201</v>
      </c>
      <c r="B257" s="4" t="s">
        <v>106</v>
      </c>
      <c r="C257" s="5"/>
      <c r="D257" s="153">
        <v>8811</v>
      </c>
      <c r="E257" s="149"/>
      <c r="F257" s="149"/>
      <c r="G257" s="149"/>
      <c r="N257" s="149">
        <f t="shared" si="9"/>
        <v>0</v>
      </c>
    </row>
    <row r="258" spans="1:14" x14ac:dyDescent="0.25">
      <c r="A258" s="4" t="s">
        <v>201</v>
      </c>
      <c r="B258" s="11" t="s">
        <v>211</v>
      </c>
      <c r="C258" s="5" t="s">
        <v>101</v>
      </c>
      <c r="D258" s="153">
        <v>113500</v>
      </c>
      <c r="E258" s="149"/>
      <c r="F258" s="149">
        <v>2270</v>
      </c>
      <c r="G258" s="149">
        <v>2365</v>
      </c>
      <c r="N258" s="149">
        <f t="shared" si="9"/>
        <v>4635</v>
      </c>
    </row>
    <row r="259" spans="1:14" x14ac:dyDescent="0.25">
      <c r="A259" s="16" t="s">
        <v>213</v>
      </c>
      <c r="B259" s="16" t="s">
        <v>108</v>
      </c>
      <c r="C259" s="17"/>
      <c r="D259" s="105">
        <f t="shared" ref="D259:G259" si="11">SUM(D228:D258)</f>
        <v>605920</v>
      </c>
      <c r="E259" s="149"/>
      <c r="F259" s="36">
        <f t="shared" si="11"/>
        <v>9865</v>
      </c>
      <c r="G259" s="36">
        <f t="shared" si="11"/>
        <v>8811</v>
      </c>
      <c r="N259" s="149">
        <f t="shared" si="9"/>
        <v>18676</v>
      </c>
    </row>
    <row r="260" spans="1:14" x14ac:dyDescent="0.25">
      <c r="A260" s="4" t="s">
        <v>214</v>
      </c>
      <c r="B260" s="4" t="s">
        <v>56</v>
      </c>
      <c r="C260" s="5" t="s">
        <v>57</v>
      </c>
      <c r="D260" s="153">
        <v>24056</v>
      </c>
      <c r="E260" s="149"/>
      <c r="F260" s="149">
        <v>481</v>
      </c>
      <c r="G260" s="149">
        <v>501</v>
      </c>
      <c r="N260" s="149">
        <f t="shared" si="9"/>
        <v>982</v>
      </c>
    </row>
    <row r="261" spans="1:14" x14ac:dyDescent="0.25">
      <c r="A261" s="4" t="s">
        <v>214</v>
      </c>
      <c r="B261" s="4" t="s">
        <v>98</v>
      </c>
      <c r="C261" s="5" t="s">
        <v>99</v>
      </c>
      <c r="D261" s="153"/>
      <c r="E261" s="149"/>
      <c r="F261" s="149"/>
      <c r="G261" s="149"/>
      <c r="N261" s="149">
        <f t="shared" si="9"/>
        <v>0</v>
      </c>
    </row>
    <row r="262" spans="1:14" x14ac:dyDescent="0.25">
      <c r="A262" s="4" t="s">
        <v>214</v>
      </c>
      <c r="B262" s="4" t="s">
        <v>118</v>
      </c>
      <c r="C262" s="8" t="s">
        <v>119</v>
      </c>
      <c r="D262" s="153">
        <v>293857</v>
      </c>
      <c r="E262" s="149"/>
      <c r="F262" s="149">
        <v>5877</v>
      </c>
      <c r="G262" s="149">
        <v>6122</v>
      </c>
      <c r="N262" s="149">
        <f t="shared" si="9"/>
        <v>11999</v>
      </c>
    </row>
    <row r="263" spans="1:14" ht="39" x14ac:dyDescent="0.25">
      <c r="A263" s="4" t="s">
        <v>214</v>
      </c>
      <c r="B263" s="4" t="s">
        <v>120</v>
      </c>
      <c r="C263" s="8" t="s">
        <v>119</v>
      </c>
      <c r="D263" s="153"/>
      <c r="E263" s="149"/>
      <c r="F263" s="149"/>
      <c r="G263" s="149"/>
      <c r="N263" s="149">
        <f t="shared" si="9"/>
        <v>0</v>
      </c>
    </row>
    <row r="264" spans="1:14" ht="26.25" x14ac:dyDescent="0.25">
      <c r="A264" s="4" t="s">
        <v>214</v>
      </c>
      <c r="B264" s="4" t="s">
        <v>121</v>
      </c>
      <c r="C264" s="8" t="s">
        <v>119</v>
      </c>
      <c r="D264" s="153"/>
      <c r="E264" s="149"/>
      <c r="F264" s="149"/>
      <c r="G264" s="149"/>
      <c r="N264" s="149">
        <f t="shared" si="9"/>
        <v>0</v>
      </c>
    </row>
    <row r="265" spans="1:14" ht="26.25" x14ac:dyDescent="0.25">
      <c r="A265" s="4" t="s">
        <v>214</v>
      </c>
      <c r="B265" s="4" t="s">
        <v>215</v>
      </c>
      <c r="C265" s="8" t="s">
        <v>119</v>
      </c>
      <c r="D265" s="153"/>
      <c r="E265" s="149"/>
      <c r="F265" s="149"/>
      <c r="G265" s="149"/>
      <c r="N265" s="149">
        <f t="shared" ref="N265:N328" si="12">G265+F265</f>
        <v>0</v>
      </c>
    </row>
    <row r="266" spans="1:14" ht="26.25" x14ac:dyDescent="0.25">
      <c r="A266" s="4" t="s">
        <v>214</v>
      </c>
      <c r="B266" s="4" t="s">
        <v>65</v>
      </c>
      <c r="C266" s="5" t="s">
        <v>60</v>
      </c>
      <c r="D266" s="153">
        <v>71484</v>
      </c>
      <c r="E266" s="149"/>
      <c r="F266" s="149">
        <v>1430</v>
      </c>
      <c r="G266" s="149">
        <v>1489</v>
      </c>
      <c r="N266" s="149">
        <f t="shared" si="12"/>
        <v>2919</v>
      </c>
    </row>
    <row r="267" spans="1:14" ht="51.75" x14ac:dyDescent="0.25">
      <c r="A267" s="4" t="s">
        <v>214</v>
      </c>
      <c r="B267" s="4" t="s">
        <v>216</v>
      </c>
      <c r="C267" s="5" t="s">
        <v>60</v>
      </c>
      <c r="D267" s="153"/>
      <c r="E267" s="149"/>
      <c r="F267" s="149"/>
      <c r="G267" s="149"/>
      <c r="N267" s="149">
        <f t="shared" si="12"/>
        <v>0</v>
      </c>
    </row>
    <row r="268" spans="1:14" x14ac:dyDescent="0.25">
      <c r="A268" s="4" t="s">
        <v>214</v>
      </c>
      <c r="B268" s="4" t="s">
        <v>217</v>
      </c>
      <c r="C268" s="5" t="s">
        <v>165</v>
      </c>
      <c r="D268" s="153"/>
      <c r="E268" s="149"/>
      <c r="F268" s="149"/>
      <c r="G268" s="149"/>
      <c r="N268" s="149">
        <f t="shared" si="12"/>
        <v>0</v>
      </c>
    </row>
    <row r="269" spans="1:14" x14ac:dyDescent="0.25">
      <c r="A269" s="4" t="s">
        <v>214</v>
      </c>
      <c r="B269" s="4" t="s">
        <v>218</v>
      </c>
      <c r="C269" s="5" t="s">
        <v>165</v>
      </c>
      <c r="D269" s="153"/>
      <c r="E269" s="149"/>
      <c r="F269" s="149"/>
      <c r="G269" s="149"/>
      <c r="N269" s="149">
        <f t="shared" si="12"/>
        <v>0</v>
      </c>
    </row>
    <row r="270" spans="1:14" x14ac:dyDescent="0.25">
      <c r="A270" s="4" t="s">
        <v>214</v>
      </c>
      <c r="B270" s="4" t="s">
        <v>219</v>
      </c>
      <c r="C270" s="5" t="s">
        <v>220</v>
      </c>
      <c r="D270" s="153"/>
      <c r="E270" s="149"/>
      <c r="F270" s="149"/>
      <c r="G270" s="149"/>
      <c r="N270" s="149">
        <f t="shared" si="12"/>
        <v>0</v>
      </c>
    </row>
    <row r="271" spans="1:14" ht="26.25" x14ac:dyDescent="0.25">
      <c r="A271" s="4" t="s">
        <v>214</v>
      </c>
      <c r="B271" s="4" t="s">
        <v>62</v>
      </c>
      <c r="C271" s="5" t="s">
        <v>60</v>
      </c>
      <c r="D271" s="153"/>
      <c r="E271" s="149"/>
      <c r="F271" s="149"/>
      <c r="G271" s="149"/>
      <c r="N271" s="149">
        <f t="shared" si="12"/>
        <v>0</v>
      </c>
    </row>
    <row r="272" spans="1:14" x14ac:dyDescent="0.25">
      <c r="A272" s="4" t="s">
        <v>214</v>
      </c>
      <c r="B272" s="4" t="s">
        <v>64</v>
      </c>
      <c r="C272" s="5" t="s">
        <v>60</v>
      </c>
      <c r="D272" s="153"/>
      <c r="E272" s="149"/>
      <c r="F272" s="149"/>
      <c r="G272" s="149"/>
      <c r="N272" s="149">
        <f t="shared" si="12"/>
        <v>0</v>
      </c>
    </row>
    <row r="273" spans="1:14" x14ac:dyDescent="0.25">
      <c r="A273" s="4" t="s">
        <v>214</v>
      </c>
      <c r="B273" s="4" t="s">
        <v>222</v>
      </c>
      <c r="C273" s="5" t="s">
        <v>67</v>
      </c>
      <c r="D273" s="153"/>
      <c r="E273" s="149"/>
      <c r="F273" s="149"/>
      <c r="G273" s="149"/>
      <c r="N273" s="149">
        <f t="shared" si="12"/>
        <v>0</v>
      </c>
    </row>
    <row r="274" spans="1:14" x14ac:dyDescent="0.25">
      <c r="A274" s="4" t="s">
        <v>214</v>
      </c>
      <c r="B274" s="4" t="s">
        <v>126</v>
      </c>
      <c r="C274" s="5" t="s">
        <v>73</v>
      </c>
      <c r="D274" s="153">
        <v>8557</v>
      </c>
      <c r="E274" s="149"/>
      <c r="F274" s="149">
        <v>171</v>
      </c>
      <c r="G274" s="149">
        <v>178</v>
      </c>
      <c r="N274" s="149">
        <f t="shared" si="12"/>
        <v>349</v>
      </c>
    </row>
    <row r="275" spans="1:14" x14ac:dyDescent="0.25">
      <c r="A275" s="4" t="s">
        <v>214</v>
      </c>
      <c r="B275" s="4" t="s">
        <v>77</v>
      </c>
      <c r="C275" s="5" t="s">
        <v>73</v>
      </c>
      <c r="D275" s="153">
        <v>18375</v>
      </c>
      <c r="E275" s="149"/>
      <c r="F275" s="149">
        <v>368</v>
      </c>
      <c r="G275" s="149">
        <v>383</v>
      </c>
      <c r="N275" s="149">
        <f t="shared" si="12"/>
        <v>751</v>
      </c>
    </row>
    <row r="276" spans="1:14" x14ac:dyDescent="0.25">
      <c r="A276" s="4" t="s">
        <v>214</v>
      </c>
      <c r="B276" s="4" t="s">
        <v>223</v>
      </c>
      <c r="C276" s="5" t="s">
        <v>73</v>
      </c>
      <c r="D276" s="153"/>
      <c r="E276" s="149"/>
      <c r="F276" s="149"/>
      <c r="G276" s="149"/>
      <c r="N276" s="149">
        <f t="shared" si="12"/>
        <v>0</v>
      </c>
    </row>
    <row r="277" spans="1:14" x14ac:dyDescent="0.25">
      <c r="A277" s="4" t="s">
        <v>214</v>
      </c>
      <c r="B277" s="4" t="s">
        <v>69</v>
      </c>
      <c r="C277" s="5" t="s">
        <v>70</v>
      </c>
      <c r="D277" s="153">
        <v>3559</v>
      </c>
      <c r="E277" s="149"/>
      <c r="F277" s="149">
        <v>71</v>
      </c>
      <c r="G277" s="149">
        <v>74</v>
      </c>
      <c r="N277" s="149">
        <f t="shared" si="12"/>
        <v>145</v>
      </c>
    </row>
    <row r="278" spans="1:14" x14ac:dyDescent="0.25">
      <c r="A278" s="4" t="s">
        <v>214</v>
      </c>
      <c r="B278" s="4" t="s">
        <v>97</v>
      </c>
      <c r="C278" s="5" t="s">
        <v>96</v>
      </c>
      <c r="D278" s="153"/>
      <c r="E278" s="149"/>
      <c r="F278" s="149"/>
      <c r="G278" s="149"/>
      <c r="N278" s="149">
        <f t="shared" si="12"/>
        <v>0</v>
      </c>
    </row>
    <row r="279" spans="1:14" x14ac:dyDescent="0.25">
      <c r="A279" s="4" t="s">
        <v>214</v>
      </c>
      <c r="B279" s="4" t="s">
        <v>146</v>
      </c>
      <c r="C279" s="5" t="s">
        <v>79</v>
      </c>
      <c r="D279" s="153">
        <v>4405</v>
      </c>
      <c r="E279" s="149"/>
      <c r="F279" s="21">
        <v>88</v>
      </c>
      <c r="G279" s="21">
        <v>92</v>
      </c>
      <c r="N279" s="149">
        <f t="shared" si="12"/>
        <v>180</v>
      </c>
    </row>
    <row r="280" spans="1:14" x14ac:dyDescent="0.25">
      <c r="A280" s="4" t="s">
        <v>214</v>
      </c>
      <c r="B280" s="4" t="s">
        <v>224</v>
      </c>
      <c r="C280" s="5" t="s">
        <v>104</v>
      </c>
      <c r="D280" s="153"/>
      <c r="E280" s="149"/>
      <c r="F280" s="149"/>
      <c r="G280" s="149"/>
      <c r="N280" s="149">
        <f t="shared" si="12"/>
        <v>0</v>
      </c>
    </row>
    <row r="281" spans="1:14" ht="28.5" customHeight="1" x14ac:dyDescent="0.25">
      <c r="A281" s="4" t="s">
        <v>214</v>
      </c>
      <c r="B281" s="4" t="s">
        <v>225</v>
      </c>
      <c r="C281" s="7" t="s">
        <v>104</v>
      </c>
      <c r="D281" s="153"/>
      <c r="E281" s="149"/>
      <c r="F281" s="149"/>
      <c r="G281" s="149"/>
      <c r="N281" s="149">
        <f t="shared" si="12"/>
        <v>0</v>
      </c>
    </row>
    <row r="282" spans="1:14" x14ac:dyDescent="0.25">
      <c r="A282" s="4" t="s">
        <v>214</v>
      </c>
      <c r="B282" s="4" t="s">
        <v>100</v>
      </c>
      <c r="C282" s="5" t="s">
        <v>101</v>
      </c>
      <c r="D282" s="153"/>
      <c r="E282" s="149"/>
      <c r="F282" s="149"/>
      <c r="G282" s="149"/>
      <c r="N282" s="149">
        <f t="shared" si="12"/>
        <v>0</v>
      </c>
    </row>
    <row r="283" spans="1:14" x14ac:dyDescent="0.25">
      <c r="A283" s="4" t="s">
        <v>214</v>
      </c>
      <c r="B283" s="4" t="s">
        <v>105</v>
      </c>
      <c r="C283" s="5"/>
      <c r="D283" s="153">
        <v>8486</v>
      </c>
      <c r="E283" s="149"/>
      <c r="F283" s="149"/>
      <c r="G283" s="149"/>
      <c r="N283" s="149">
        <f t="shared" si="12"/>
        <v>0</v>
      </c>
    </row>
    <row r="284" spans="1:14" x14ac:dyDescent="0.25">
      <c r="A284" s="4" t="s">
        <v>214</v>
      </c>
      <c r="B284" s="4" t="s">
        <v>106</v>
      </c>
      <c r="C284" s="5"/>
      <c r="D284" s="153">
        <v>8839</v>
      </c>
      <c r="E284" s="149"/>
      <c r="F284" s="149"/>
      <c r="G284" s="149"/>
      <c r="N284" s="149">
        <f t="shared" si="12"/>
        <v>0</v>
      </c>
    </row>
    <row r="285" spans="1:14" x14ac:dyDescent="0.25">
      <c r="A285" s="16" t="s">
        <v>226</v>
      </c>
      <c r="B285" s="16" t="s">
        <v>108</v>
      </c>
      <c r="C285" s="17"/>
      <c r="D285" s="105">
        <f t="shared" ref="D285:G285" si="13">SUM(D260:D284)</f>
        <v>441618</v>
      </c>
      <c r="E285" s="149"/>
      <c r="F285" s="36">
        <f t="shared" si="13"/>
        <v>8486</v>
      </c>
      <c r="G285" s="36">
        <f t="shared" si="13"/>
        <v>8839</v>
      </c>
      <c r="N285" s="149">
        <f t="shared" si="12"/>
        <v>17325</v>
      </c>
    </row>
    <row r="286" spans="1:14" x14ac:dyDescent="0.25">
      <c r="A286" s="4" t="s">
        <v>227</v>
      </c>
      <c r="B286" s="4" t="s">
        <v>125</v>
      </c>
      <c r="C286" s="5" t="s">
        <v>57</v>
      </c>
      <c r="D286" s="153">
        <v>24056</v>
      </c>
      <c r="E286" s="149"/>
      <c r="F286" s="149">
        <v>481</v>
      </c>
      <c r="G286" s="149">
        <v>501</v>
      </c>
      <c r="N286" s="149">
        <f t="shared" si="12"/>
        <v>982</v>
      </c>
    </row>
    <row r="287" spans="1:14" x14ac:dyDescent="0.25">
      <c r="A287" s="4" t="s">
        <v>227</v>
      </c>
      <c r="B287" s="4" t="s">
        <v>126</v>
      </c>
      <c r="C287" s="5" t="s">
        <v>73</v>
      </c>
      <c r="D287" s="153">
        <v>8083</v>
      </c>
      <c r="E287" s="149"/>
      <c r="F287" s="149">
        <v>162</v>
      </c>
      <c r="G287" s="149">
        <v>168</v>
      </c>
      <c r="N287" s="149">
        <f t="shared" si="12"/>
        <v>330</v>
      </c>
    </row>
    <row r="288" spans="1:14" x14ac:dyDescent="0.25">
      <c r="A288" s="4" t="s">
        <v>227</v>
      </c>
      <c r="B288" s="4" t="s">
        <v>77</v>
      </c>
      <c r="C288" s="5" t="s">
        <v>73</v>
      </c>
      <c r="D288" s="153">
        <v>22750</v>
      </c>
      <c r="E288" s="149"/>
      <c r="F288" s="149">
        <v>455</v>
      </c>
      <c r="G288" s="149">
        <v>474</v>
      </c>
      <c r="N288" s="149">
        <f t="shared" si="12"/>
        <v>929</v>
      </c>
    </row>
    <row r="289" spans="1:14" x14ac:dyDescent="0.25">
      <c r="A289" s="4" t="s">
        <v>227</v>
      </c>
      <c r="B289" s="4" t="s">
        <v>69</v>
      </c>
      <c r="C289" s="5" t="s">
        <v>70</v>
      </c>
      <c r="D289" s="153">
        <v>3278</v>
      </c>
      <c r="E289" s="149"/>
      <c r="F289" s="149">
        <v>66</v>
      </c>
      <c r="G289" s="149">
        <v>68</v>
      </c>
      <c r="N289" s="149">
        <f t="shared" si="12"/>
        <v>134</v>
      </c>
    </row>
    <row r="290" spans="1:14" x14ac:dyDescent="0.25">
      <c r="A290" s="4" t="s">
        <v>227</v>
      </c>
      <c r="B290" s="4" t="s">
        <v>146</v>
      </c>
      <c r="C290" s="5" t="s">
        <v>79</v>
      </c>
      <c r="D290" s="153">
        <v>3708</v>
      </c>
      <c r="E290" s="149"/>
      <c r="F290" s="149">
        <v>74</v>
      </c>
      <c r="G290" s="149">
        <v>77</v>
      </c>
      <c r="N290" s="149">
        <f t="shared" si="12"/>
        <v>151</v>
      </c>
    </row>
    <row r="291" spans="1:14" x14ac:dyDescent="0.25">
      <c r="A291" s="4" t="s">
        <v>227</v>
      </c>
      <c r="B291" s="4" t="s">
        <v>131</v>
      </c>
      <c r="C291" s="5" t="s">
        <v>67</v>
      </c>
      <c r="D291" s="153">
        <v>13718</v>
      </c>
      <c r="E291" s="149"/>
      <c r="F291" s="149">
        <v>274</v>
      </c>
      <c r="G291" s="149">
        <v>286</v>
      </c>
      <c r="N291" s="149">
        <f t="shared" si="12"/>
        <v>560</v>
      </c>
    </row>
    <row r="292" spans="1:14" x14ac:dyDescent="0.25">
      <c r="A292" s="4" t="s">
        <v>227</v>
      </c>
      <c r="B292" s="4" t="s">
        <v>224</v>
      </c>
      <c r="C292" s="5" t="s">
        <v>104</v>
      </c>
      <c r="D292" s="153"/>
      <c r="E292" s="149"/>
      <c r="F292" s="149"/>
      <c r="G292" s="149"/>
      <c r="N292" s="149">
        <f t="shared" si="12"/>
        <v>0</v>
      </c>
    </row>
    <row r="293" spans="1:14" ht="26.25" x14ac:dyDescent="0.25">
      <c r="A293" s="4" t="s">
        <v>227</v>
      </c>
      <c r="B293" s="4" t="s">
        <v>228</v>
      </c>
      <c r="C293" s="5" t="s">
        <v>165</v>
      </c>
      <c r="D293" s="153"/>
      <c r="E293" s="149"/>
      <c r="F293" s="149"/>
      <c r="G293" s="149"/>
      <c r="N293" s="149">
        <f t="shared" si="12"/>
        <v>0</v>
      </c>
    </row>
    <row r="294" spans="1:14" x14ac:dyDescent="0.25">
      <c r="A294" s="4" t="s">
        <v>227</v>
      </c>
      <c r="B294" s="4" t="s">
        <v>90</v>
      </c>
      <c r="C294" s="5" t="s">
        <v>86</v>
      </c>
      <c r="D294" s="153"/>
      <c r="E294" s="149"/>
      <c r="F294" s="149"/>
      <c r="G294" s="149"/>
      <c r="N294" s="149">
        <f t="shared" si="12"/>
        <v>0</v>
      </c>
    </row>
    <row r="295" spans="1:14" x14ac:dyDescent="0.25">
      <c r="A295" s="4" t="s">
        <v>227</v>
      </c>
      <c r="B295" s="4" t="s">
        <v>181</v>
      </c>
      <c r="C295" s="5" t="s">
        <v>82</v>
      </c>
      <c r="D295" s="153"/>
      <c r="E295" s="149"/>
      <c r="F295" s="149"/>
      <c r="G295" s="149"/>
      <c r="N295" s="149">
        <f t="shared" si="12"/>
        <v>0</v>
      </c>
    </row>
    <row r="296" spans="1:14" x14ac:dyDescent="0.25">
      <c r="A296" s="4" t="s">
        <v>227</v>
      </c>
      <c r="B296" s="4" t="s">
        <v>98</v>
      </c>
      <c r="C296" s="5" t="s">
        <v>99</v>
      </c>
      <c r="D296" s="153"/>
      <c r="E296" s="149"/>
      <c r="F296" s="149"/>
      <c r="G296" s="149"/>
      <c r="N296" s="149">
        <f t="shared" si="12"/>
        <v>0</v>
      </c>
    </row>
    <row r="297" spans="1:14" x14ac:dyDescent="0.25">
      <c r="A297" s="4" t="s">
        <v>227</v>
      </c>
      <c r="B297" s="4" t="s">
        <v>97</v>
      </c>
      <c r="C297" s="5" t="s">
        <v>96</v>
      </c>
      <c r="D297" s="153"/>
      <c r="E297" s="149"/>
      <c r="F297" s="149"/>
      <c r="G297" s="149"/>
      <c r="N297" s="149">
        <f t="shared" si="12"/>
        <v>0</v>
      </c>
    </row>
    <row r="298" spans="1:14" ht="26.25" x14ac:dyDescent="0.25">
      <c r="A298" s="4" t="s">
        <v>227</v>
      </c>
      <c r="B298" s="4" t="s">
        <v>62</v>
      </c>
      <c r="C298" s="5" t="s">
        <v>60</v>
      </c>
      <c r="D298" s="153"/>
      <c r="E298" s="149"/>
      <c r="F298" s="149"/>
      <c r="G298" s="149"/>
      <c r="N298" s="149">
        <f t="shared" si="12"/>
        <v>0</v>
      </c>
    </row>
    <row r="299" spans="1:14" x14ac:dyDescent="0.25">
      <c r="A299" s="4" t="s">
        <v>227</v>
      </c>
      <c r="B299" s="4" t="s">
        <v>64</v>
      </c>
      <c r="C299" s="5" t="s">
        <v>60</v>
      </c>
      <c r="D299" s="153"/>
      <c r="E299" s="149"/>
      <c r="F299" s="149"/>
      <c r="G299" s="149"/>
      <c r="N299" s="149">
        <f t="shared" si="12"/>
        <v>0</v>
      </c>
    </row>
    <row r="300" spans="1:14" x14ac:dyDescent="0.25">
      <c r="A300" s="4" t="s">
        <v>227</v>
      </c>
      <c r="B300" s="4" t="s">
        <v>229</v>
      </c>
      <c r="C300" s="5" t="s">
        <v>60</v>
      </c>
      <c r="D300" s="153">
        <v>107553</v>
      </c>
      <c r="E300" s="149"/>
      <c r="F300" s="149">
        <v>2151</v>
      </c>
      <c r="G300" s="149">
        <v>2241</v>
      </c>
      <c r="N300" s="149">
        <f t="shared" si="12"/>
        <v>4392</v>
      </c>
    </row>
    <row r="301" spans="1:14" x14ac:dyDescent="0.25">
      <c r="A301" s="4" t="s">
        <v>227</v>
      </c>
      <c r="B301" s="4" t="s">
        <v>100</v>
      </c>
      <c r="C301" s="5" t="s">
        <v>101</v>
      </c>
      <c r="D301" s="153"/>
      <c r="E301" s="149"/>
      <c r="F301" s="149"/>
      <c r="G301" s="149"/>
      <c r="N301" s="149">
        <f t="shared" si="12"/>
        <v>0</v>
      </c>
    </row>
    <row r="302" spans="1:14" x14ac:dyDescent="0.25">
      <c r="A302" s="4" t="s">
        <v>227</v>
      </c>
      <c r="B302" s="4" t="s">
        <v>105</v>
      </c>
      <c r="C302" s="5"/>
      <c r="D302" s="153">
        <v>3663</v>
      </c>
      <c r="E302" s="149"/>
      <c r="F302" s="149"/>
      <c r="G302" s="149"/>
      <c r="N302" s="149">
        <f t="shared" si="12"/>
        <v>0</v>
      </c>
    </row>
    <row r="303" spans="1:14" x14ac:dyDescent="0.25">
      <c r="A303" s="4" t="s">
        <v>227</v>
      </c>
      <c r="B303" s="4" t="s">
        <v>106</v>
      </c>
      <c r="C303" s="5"/>
      <c r="D303" s="153">
        <v>3815</v>
      </c>
      <c r="E303" s="149"/>
      <c r="F303" s="149"/>
      <c r="G303" s="149"/>
      <c r="N303" s="149">
        <f t="shared" si="12"/>
        <v>0</v>
      </c>
    </row>
    <row r="304" spans="1:14" x14ac:dyDescent="0.25">
      <c r="A304" s="16" t="s">
        <v>230</v>
      </c>
      <c r="B304" s="16" t="s">
        <v>108</v>
      </c>
      <c r="C304" s="17"/>
      <c r="D304" s="105">
        <f t="shared" ref="D304:G304" si="14">SUM(D286:D303)</f>
        <v>190624</v>
      </c>
      <c r="E304" s="149"/>
      <c r="F304" s="36">
        <f t="shared" si="14"/>
        <v>3663</v>
      </c>
      <c r="G304" s="36">
        <f t="shared" si="14"/>
        <v>3815</v>
      </c>
      <c r="N304" s="149">
        <f t="shared" si="12"/>
        <v>7478</v>
      </c>
    </row>
    <row r="305" spans="1:14" x14ac:dyDescent="0.25">
      <c r="A305" s="4" t="s">
        <v>231</v>
      </c>
      <c r="B305" s="4" t="s">
        <v>56</v>
      </c>
      <c r="C305" s="5" t="s">
        <v>57</v>
      </c>
      <c r="D305" s="153">
        <v>48586</v>
      </c>
      <c r="E305" s="149"/>
      <c r="F305" s="149">
        <v>972</v>
      </c>
      <c r="G305" s="149">
        <v>1012</v>
      </c>
      <c r="N305" s="149">
        <f t="shared" si="12"/>
        <v>1984</v>
      </c>
    </row>
    <row r="306" spans="1:14" x14ac:dyDescent="0.25">
      <c r="A306" s="4" t="s">
        <v>231</v>
      </c>
      <c r="B306" s="4" t="s">
        <v>98</v>
      </c>
      <c r="C306" s="5" t="s">
        <v>99</v>
      </c>
      <c r="D306" s="153"/>
      <c r="E306" s="149"/>
      <c r="F306" s="149"/>
      <c r="G306" s="149"/>
      <c r="N306" s="149">
        <f t="shared" si="12"/>
        <v>0</v>
      </c>
    </row>
    <row r="307" spans="1:14" ht="26.25" x14ac:dyDescent="0.25">
      <c r="A307" s="4" t="s">
        <v>231</v>
      </c>
      <c r="B307" s="4" t="s">
        <v>65</v>
      </c>
      <c r="C307" s="5" t="s">
        <v>60</v>
      </c>
      <c r="D307" s="153">
        <v>124786</v>
      </c>
      <c r="E307" s="149"/>
      <c r="F307" s="149">
        <v>2496</v>
      </c>
      <c r="G307" s="149">
        <v>2600</v>
      </c>
      <c r="N307" s="149">
        <f t="shared" si="12"/>
        <v>5096</v>
      </c>
    </row>
    <row r="308" spans="1:14" x14ac:dyDescent="0.25">
      <c r="A308" s="4" t="s">
        <v>231</v>
      </c>
      <c r="B308" s="4" t="s">
        <v>232</v>
      </c>
      <c r="C308" s="5" t="s">
        <v>60</v>
      </c>
      <c r="D308" s="153"/>
      <c r="E308" s="149"/>
      <c r="F308" s="149"/>
      <c r="G308" s="149"/>
      <c r="N308" s="149">
        <f t="shared" si="12"/>
        <v>0</v>
      </c>
    </row>
    <row r="309" spans="1:14" ht="26.25" x14ac:dyDescent="0.25">
      <c r="A309" s="4" t="s">
        <v>231</v>
      </c>
      <c r="B309" s="4" t="s">
        <v>62</v>
      </c>
      <c r="C309" s="5" t="s">
        <v>60</v>
      </c>
      <c r="D309" s="153"/>
      <c r="E309" s="149"/>
      <c r="F309" s="149"/>
      <c r="G309" s="149"/>
      <c r="N309" s="149">
        <f t="shared" si="12"/>
        <v>0</v>
      </c>
    </row>
    <row r="310" spans="1:14" x14ac:dyDescent="0.25">
      <c r="A310" s="4" t="s">
        <v>231</v>
      </c>
      <c r="B310" s="4" t="s">
        <v>64</v>
      </c>
      <c r="C310" s="5" t="s">
        <v>60</v>
      </c>
      <c r="D310" s="153"/>
      <c r="E310" s="149"/>
      <c r="F310" s="149"/>
      <c r="G310" s="149"/>
      <c r="N310" s="149">
        <f t="shared" si="12"/>
        <v>0</v>
      </c>
    </row>
    <row r="311" spans="1:14" x14ac:dyDescent="0.25">
      <c r="A311" s="4" t="s">
        <v>231</v>
      </c>
      <c r="B311" s="4" t="s">
        <v>131</v>
      </c>
      <c r="C311" s="5" t="s">
        <v>67</v>
      </c>
      <c r="D311" s="153">
        <v>14015</v>
      </c>
      <c r="E311" s="149"/>
      <c r="F311" s="149">
        <v>280</v>
      </c>
      <c r="G311" s="149">
        <v>292</v>
      </c>
      <c r="N311" s="149">
        <f t="shared" si="12"/>
        <v>572</v>
      </c>
    </row>
    <row r="312" spans="1:14" x14ac:dyDescent="0.25">
      <c r="A312" s="4" t="s">
        <v>231</v>
      </c>
      <c r="B312" s="4" t="s">
        <v>233</v>
      </c>
      <c r="C312" s="5" t="s">
        <v>70</v>
      </c>
      <c r="D312" s="153">
        <v>1780</v>
      </c>
      <c r="E312" s="149"/>
      <c r="F312" s="149">
        <v>36</v>
      </c>
      <c r="G312" s="149">
        <v>37</v>
      </c>
      <c r="N312" s="149">
        <f t="shared" si="12"/>
        <v>73</v>
      </c>
    </row>
    <row r="313" spans="1:14" x14ac:dyDescent="0.25">
      <c r="A313" s="4" t="s">
        <v>231</v>
      </c>
      <c r="B313" s="4" t="s">
        <v>234</v>
      </c>
      <c r="C313" s="5" t="s">
        <v>70</v>
      </c>
      <c r="D313" s="153">
        <v>9729</v>
      </c>
      <c r="E313" s="149"/>
      <c r="F313" s="149">
        <v>195</v>
      </c>
      <c r="G313" s="149">
        <v>203</v>
      </c>
      <c r="N313" s="149">
        <f t="shared" si="12"/>
        <v>398</v>
      </c>
    </row>
    <row r="314" spans="1:14" x14ac:dyDescent="0.25">
      <c r="A314" s="4" t="s">
        <v>231</v>
      </c>
      <c r="B314" s="4" t="s">
        <v>235</v>
      </c>
      <c r="C314" s="5" t="s">
        <v>79</v>
      </c>
      <c r="D314" s="153">
        <v>6303</v>
      </c>
      <c r="E314" s="149"/>
      <c r="F314" s="149">
        <v>126</v>
      </c>
      <c r="G314" s="149">
        <v>131</v>
      </c>
      <c r="N314" s="149">
        <f t="shared" si="12"/>
        <v>257</v>
      </c>
    </row>
    <row r="315" spans="1:14" x14ac:dyDescent="0.25">
      <c r="A315" s="4" t="s">
        <v>231</v>
      </c>
      <c r="B315" s="4" t="s">
        <v>126</v>
      </c>
      <c r="C315" s="5" t="s">
        <v>73</v>
      </c>
      <c r="D315" s="153">
        <v>9314</v>
      </c>
      <c r="E315" s="149"/>
      <c r="F315" s="149">
        <v>186</v>
      </c>
      <c r="G315" s="149">
        <v>194</v>
      </c>
      <c r="N315" s="149">
        <f t="shared" si="12"/>
        <v>380</v>
      </c>
    </row>
    <row r="316" spans="1:14" x14ac:dyDescent="0.25">
      <c r="A316" s="4" t="s">
        <v>231</v>
      </c>
      <c r="B316" s="4" t="s">
        <v>236</v>
      </c>
      <c r="C316" s="5" t="s">
        <v>73</v>
      </c>
      <c r="D316" s="153"/>
      <c r="E316" s="149"/>
      <c r="F316" s="149"/>
      <c r="G316" s="149"/>
      <c r="N316" s="149">
        <f t="shared" si="12"/>
        <v>0</v>
      </c>
    </row>
    <row r="317" spans="1:14" x14ac:dyDescent="0.25">
      <c r="A317" s="4" t="s">
        <v>231</v>
      </c>
      <c r="B317" s="4" t="s">
        <v>77</v>
      </c>
      <c r="C317" s="5" t="s">
        <v>73</v>
      </c>
      <c r="D317" s="153">
        <v>20036</v>
      </c>
      <c r="E317" s="149"/>
      <c r="F317" s="149">
        <v>401</v>
      </c>
      <c r="G317" s="149">
        <v>417</v>
      </c>
      <c r="N317" s="149">
        <f t="shared" si="12"/>
        <v>818</v>
      </c>
    </row>
    <row r="318" spans="1:14" x14ac:dyDescent="0.25">
      <c r="A318" s="4" t="s">
        <v>231</v>
      </c>
      <c r="B318" s="4" t="s">
        <v>237</v>
      </c>
      <c r="C318" s="5" t="s">
        <v>73</v>
      </c>
      <c r="D318" s="153"/>
      <c r="E318" s="149"/>
      <c r="F318" s="149"/>
      <c r="G318" s="149"/>
      <c r="N318" s="149">
        <f t="shared" si="12"/>
        <v>0</v>
      </c>
    </row>
    <row r="319" spans="1:14" x14ac:dyDescent="0.25">
      <c r="A319" s="4" t="s">
        <v>231</v>
      </c>
      <c r="B319" s="4" t="s">
        <v>238</v>
      </c>
      <c r="C319" s="5" t="s">
        <v>82</v>
      </c>
      <c r="D319" s="153">
        <v>20145</v>
      </c>
      <c r="E319" s="149"/>
      <c r="F319" s="149">
        <f>14+389</f>
        <v>403</v>
      </c>
      <c r="G319" s="149">
        <f>90+405</f>
        <v>495</v>
      </c>
      <c r="N319" s="149">
        <f t="shared" si="12"/>
        <v>898</v>
      </c>
    </row>
    <row r="320" spans="1:14" ht="26.25" x14ac:dyDescent="0.25">
      <c r="A320" s="4" t="s">
        <v>231</v>
      </c>
      <c r="B320" s="4" t="s">
        <v>206</v>
      </c>
      <c r="C320" s="5" t="s">
        <v>82</v>
      </c>
      <c r="D320" s="153">
        <v>21406</v>
      </c>
      <c r="E320" s="149"/>
      <c r="F320" s="149">
        <v>642</v>
      </c>
      <c r="G320" s="149"/>
      <c r="N320" s="149">
        <f t="shared" si="12"/>
        <v>642</v>
      </c>
    </row>
    <row r="321" spans="1:14" x14ac:dyDescent="0.25">
      <c r="A321" s="4" t="s">
        <v>231</v>
      </c>
      <c r="B321" s="4" t="s">
        <v>85</v>
      </c>
      <c r="C321" s="5" t="s">
        <v>86</v>
      </c>
      <c r="D321" s="153">
        <v>39672</v>
      </c>
      <c r="E321" s="149"/>
      <c r="F321" s="149">
        <v>793</v>
      </c>
      <c r="G321" s="149">
        <v>827</v>
      </c>
      <c r="N321" s="149">
        <f t="shared" si="12"/>
        <v>1620</v>
      </c>
    </row>
    <row r="322" spans="1:14" ht="26.25" x14ac:dyDescent="0.25">
      <c r="A322" s="4" t="s">
        <v>231</v>
      </c>
      <c r="B322" s="4" t="s">
        <v>87</v>
      </c>
      <c r="C322" s="5" t="s">
        <v>86</v>
      </c>
      <c r="D322" s="153">
        <v>24085</v>
      </c>
      <c r="E322" s="149"/>
      <c r="F322" s="149">
        <v>654</v>
      </c>
      <c r="G322" s="149"/>
      <c r="N322" s="149">
        <f t="shared" si="12"/>
        <v>654</v>
      </c>
    </row>
    <row r="323" spans="1:14" ht="26.25" x14ac:dyDescent="0.25">
      <c r="A323" s="4" t="s">
        <v>231</v>
      </c>
      <c r="B323" s="4" t="s">
        <v>88</v>
      </c>
      <c r="C323" s="5" t="s">
        <v>86</v>
      </c>
      <c r="D323" s="153"/>
      <c r="E323" s="149"/>
      <c r="F323" s="149"/>
      <c r="G323" s="149"/>
      <c r="N323" s="149">
        <f t="shared" si="12"/>
        <v>0</v>
      </c>
    </row>
    <row r="324" spans="1:14" ht="26.25" x14ac:dyDescent="0.25">
      <c r="A324" s="4" t="s">
        <v>231</v>
      </c>
      <c r="B324" s="4" t="s">
        <v>89</v>
      </c>
      <c r="C324" s="5" t="s">
        <v>86</v>
      </c>
      <c r="D324" s="153"/>
      <c r="E324" s="149"/>
      <c r="F324" s="149"/>
      <c r="G324" s="149"/>
      <c r="N324" s="149">
        <f t="shared" si="12"/>
        <v>0</v>
      </c>
    </row>
    <row r="325" spans="1:14" x14ac:dyDescent="0.25">
      <c r="A325" s="4" t="s">
        <v>231</v>
      </c>
      <c r="B325" s="4" t="s">
        <v>91</v>
      </c>
      <c r="C325" s="5" t="s">
        <v>86</v>
      </c>
      <c r="D325" s="153">
        <v>62960</v>
      </c>
      <c r="E325" s="149"/>
      <c r="F325" s="149"/>
      <c r="G325" s="149"/>
      <c r="N325" s="149">
        <f t="shared" si="12"/>
        <v>0</v>
      </c>
    </row>
    <row r="326" spans="1:14" ht="26.25" x14ac:dyDescent="0.25">
      <c r="A326" s="4" t="s">
        <v>231</v>
      </c>
      <c r="B326" s="4" t="s">
        <v>92</v>
      </c>
      <c r="C326" s="5" t="s">
        <v>93</v>
      </c>
      <c r="D326" s="153">
        <v>4585</v>
      </c>
      <c r="E326" s="149"/>
      <c r="F326" s="149"/>
      <c r="G326" s="149"/>
      <c r="I326" s="149">
        <f>D326+F326+G326</f>
        <v>4585</v>
      </c>
      <c r="K326" s="149">
        <f>I326-D326</f>
        <v>0</v>
      </c>
      <c r="N326" s="149">
        <f t="shared" si="12"/>
        <v>0</v>
      </c>
    </row>
    <row r="327" spans="1:14" ht="26.25" x14ac:dyDescent="0.25">
      <c r="A327" s="4" t="s">
        <v>231</v>
      </c>
      <c r="B327" s="4" t="s">
        <v>84</v>
      </c>
      <c r="C327" s="5" t="s">
        <v>82</v>
      </c>
      <c r="D327" s="153">
        <v>8872</v>
      </c>
      <c r="E327" s="149"/>
      <c r="F327" s="149"/>
      <c r="G327" s="149"/>
      <c r="N327" s="149">
        <f t="shared" si="12"/>
        <v>0</v>
      </c>
    </row>
    <row r="328" spans="1:14" x14ac:dyDescent="0.25">
      <c r="A328" s="4" t="s">
        <v>231</v>
      </c>
      <c r="B328" s="4" t="s">
        <v>97</v>
      </c>
      <c r="C328" s="5" t="s">
        <v>96</v>
      </c>
      <c r="D328" s="153"/>
      <c r="E328" s="149"/>
      <c r="F328" s="149"/>
      <c r="G328" s="149"/>
      <c r="N328" s="149">
        <f t="shared" si="12"/>
        <v>0</v>
      </c>
    </row>
    <row r="329" spans="1:14" x14ac:dyDescent="0.25">
      <c r="A329" s="4" t="s">
        <v>231</v>
      </c>
      <c r="B329" s="4" t="s">
        <v>100</v>
      </c>
      <c r="C329" s="5" t="s">
        <v>101</v>
      </c>
      <c r="D329" s="153"/>
      <c r="E329" s="149"/>
      <c r="F329" s="149"/>
      <c r="G329" s="149"/>
      <c r="N329" s="149">
        <f t="shared" ref="N329:N392" si="15">G329+F329</f>
        <v>0</v>
      </c>
    </row>
    <row r="330" spans="1:14" x14ac:dyDescent="0.25">
      <c r="A330" s="4" t="s">
        <v>231</v>
      </c>
      <c r="B330" s="4" t="s">
        <v>105</v>
      </c>
      <c r="C330" s="5"/>
      <c r="D330" s="153">
        <v>7184</v>
      </c>
      <c r="E330" s="149"/>
      <c r="F330" s="149"/>
      <c r="G330" s="149"/>
      <c r="N330" s="149">
        <f t="shared" si="15"/>
        <v>0</v>
      </c>
    </row>
    <row r="331" spans="1:14" x14ac:dyDescent="0.25">
      <c r="A331" s="4" t="s">
        <v>231</v>
      </c>
      <c r="B331" s="4" t="s">
        <v>106</v>
      </c>
      <c r="C331" s="5"/>
      <c r="D331" s="153">
        <v>6208</v>
      </c>
      <c r="E331" s="149"/>
      <c r="F331" s="149"/>
      <c r="G331" s="149"/>
      <c r="N331" s="149">
        <f t="shared" si="15"/>
        <v>0</v>
      </c>
    </row>
    <row r="332" spans="1:14" x14ac:dyDescent="0.25">
      <c r="A332" s="4" t="s">
        <v>231</v>
      </c>
      <c r="B332" s="4" t="s">
        <v>239</v>
      </c>
      <c r="C332" s="5" t="s">
        <v>104</v>
      </c>
      <c r="D332" s="153"/>
      <c r="E332" s="149"/>
      <c r="F332" s="149"/>
      <c r="G332" s="149"/>
      <c r="N332" s="149">
        <f t="shared" si="15"/>
        <v>0</v>
      </c>
    </row>
    <row r="333" spans="1:14" x14ac:dyDescent="0.25">
      <c r="A333" s="4" t="s">
        <v>231</v>
      </c>
      <c r="B333" s="4" t="s">
        <v>90</v>
      </c>
      <c r="C333" s="5" t="s">
        <v>86</v>
      </c>
      <c r="D333" s="153"/>
      <c r="E333" s="149"/>
      <c r="F333" s="149"/>
      <c r="G333" s="149"/>
      <c r="N333" s="149">
        <f t="shared" si="15"/>
        <v>0</v>
      </c>
    </row>
    <row r="334" spans="1:14" x14ac:dyDescent="0.25">
      <c r="A334" s="16" t="s">
        <v>240</v>
      </c>
      <c r="B334" s="16" t="s">
        <v>108</v>
      </c>
      <c r="C334" s="17"/>
      <c r="D334" s="105">
        <f t="shared" ref="D334:G334" si="16">SUM(D305:D333)</f>
        <v>429666</v>
      </c>
      <c r="E334" s="149">
        <f t="shared" si="16"/>
        <v>0</v>
      </c>
      <c r="F334" s="36">
        <f t="shared" si="16"/>
        <v>7184</v>
      </c>
      <c r="G334" s="36">
        <f t="shared" si="16"/>
        <v>6208</v>
      </c>
      <c r="N334" s="149">
        <f t="shared" si="15"/>
        <v>13392</v>
      </c>
    </row>
    <row r="335" spans="1:14" x14ac:dyDescent="0.25">
      <c r="A335" s="4" t="s">
        <v>241</v>
      </c>
      <c r="B335" s="4" t="s">
        <v>56</v>
      </c>
      <c r="C335" s="5" t="s">
        <v>57</v>
      </c>
      <c r="D335" s="153">
        <v>48586</v>
      </c>
      <c r="E335" s="149"/>
      <c r="F335" s="149">
        <v>972</v>
      </c>
      <c r="G335" s="149">
        <v>1012</v>
      </c>
      <c r="N335" s="149">
        <f t="shared" si="15"/>
        <v>1984</v>
      </c>
    </row>
    <row r="336" spans="1:14" x14ac:dyDescent="0.25">
      <c r="A336" s="4" t="s">
        <v>241</v>
      </c>
      <c r="B336" s="4" t="s">
        <v>235</v>
      </c>
      <c r="C336" s="5" t="s">
        <v>79</v>
      </c>
      <c r="D336" s="153">
        <v>4434</v>
      </c>
      <c r="E336" s="149"/>
      <c r="F336" s="149">
        <v>89</v>
      </c>
      <c r="G336" s="149">
        <v>92</v>
      </c>
      <c r="N336" s="149">
        <f t="shared" si="15"/>
        <v>181</v>
      </c>
    </row>
    <row r="337" spans="1:14" x14ac:dyDescent="0.25">
      <c r="A337" s="4" t="s">
        <v>241</v>
      </c>
      <c r="B337" s="4" t="s">
        <v>98</v>
      </c>
      <c r="C337" s="5" t="s">
        <v>99</v>
      </c>
      <c r="D337" s="153"/>
      <c r="E337" s="149"/>
      <c r="F337" s="149"/>
      <c r="G337" s="149"/>
      <c r="N337" s="149">
        <f t="shared" si="15"/>
        <v>0</v>
      </c>
    </row>
    <row r="338" spans="1:14" ht="26.25" x14ac:dyDescent="0.25">
      <c r="A338" s="4" t="s">
        <v>241</v>
      </c>
      <c r="B338" s="4" t="s">
        <v>65</v>
      </c>
      <c r="C338" s="5" t="s">
        <v>60</v>
      </c>
      <c r="D338" s="153">
        <v>162575</v>
      </c>
      <c r="E338" s="149"/>
      <c r="F338" s="149">
        <v>3252</v>
      </c>
      <c r="G338" s="149">
        <v>3387</v>
      </c>
      <c r="N338" s="149">
        <f t="shared" si="15"/>
        <v>6639</v>
      </c>
    </row>
    <row r="339" spans="1:14" ht="26.25" x14ac:dyDescent="0.25">
      <c r="A339" s="4" t="s">
        <v>241</v>
      </c>
      <c r="B339" s="4" t="s">
        <v>62</v>
      </c>
      <c r="C339" s="5" t="s">
        <v>60</v>
      </c>
      <c r="D339" s="153"/>
      <c r="E339" s="149"/>
      <c r="F339" s="149"/>
      <c r="G339" s="149"/>
      <c r="N339" s="149">
        <f t="shared" si="15"/>
        <v>0</v>
      </c>
    </row>
    <row r="340" spans="1:14" x14ac:dyDescent="0.25">
      <c r="A340" s="4" t="s">
        <v>241</v>
      </c>
      <c r="B340" s="4" t="s">
        <v>64</v>
      </c>
      <c r="C340" s="5" t="s">
        <v>60</v>
      </c>
      <c r="D340" s="153"/>
      <c r="E340" s="149"/>
      <c r="F340" s="149"/>
      <c r="G340" s="149"/>
      <c r="N340" s="149">
        <f t="shared" si="15"/>
        <v>0</v>
      </c>
    </row>
    <row r="341" spans="1:14" x14ac:dyDescent="0.25">
      <c r="A341" s="4" t="s">
        <v>241</v>
      </c>
      <c r="B341" s="4" t="s">
        <v>69</v>
      </c>
      <c r="C341" s="5" t="s">
        <v>70</v>
      </c>
      <c r="D341" s="153">
        <v>1780</v>
      </c>
      <c r="E341" s="149"/>
      <c r="F341" s="149">
        <v>36</v>
      </c>
      <c r="G341" s="149">
        <v>37</v>
      </c>
      <c r="N341" s="149">
        <f t="shared" si="15"/>
        <v>73</v>
      </c>
    </row>
    <row r="342" spans="1:14" x14ac:dyDescent="0.25">
      <c r="A342" s="4" t="s">
        <v>241</v>
      </c>
      <c r="B342" s="4" t="s">
        <v>77</v>
      </c>
      <c r="C342" s="5" t="s">
        <v>73</v>
      </c>
      <c r="D342" s="153">
        <v>33325</v>
      </c>
      <c r="E342" s="149"/>
      <c r="F342" s="149">
        <v>667</v>
      </c>
      <c r="G342" s="149">
        <v>694</v>
      </c>
      <c r="N342" s="149">
        <f t="shared" si="15"/>
        <v>1361</v>
      </c>
    </row>
    <row r="343" spans="1:14" x14ac:dyDescent="0.25">
      <c r="A343" s="4" t="s">
        <v>241</v>
      </c>
      <c r="B343" s="4" t="s">
        <v>242</v>
      </c>
      <c r="C343" s="5" t="s">
        <v>73</v>
      </c>
      <c r="D343" s="153">
        <v>9685</v>
      </c>
      <c r="E343" s="149"/>
      <c r="F343" s="149">
        <v>194</v>
      </c>
      <c r="G343" s="149">
        <v>202</v>
      </c>
      <c r="N343" s="149">
        <f t="shared" si="15"/>
        <v>396</v>
      </c>
    </row>
    <row r="344" spans="1:14" x14ac:dyDescent="0.25">
      <c r="A344" s="4" t="s">
        <v>241</v>
      </c>
      <c r="B344" s="4" t="s">
        <v>243</v>
      </c>
      <c r="C344" s="5" t="s">
        <v>73</v>
      </c>
      <c r="D344" s="153">
        <v>7682</v>
      </c>
      <c r="E344" s="149"/>
      <c r="F344" s="149">
        <v>154</v>
      </c>
      <c r="G344" s="149">
        <v>160</v>
      </c>
      <c r="N344" s="149">
        <f t="shared" si="15"/>
        <v>314</v>
      </c>
    </row>
    <row r="345" spans="1:14" x14ac:dyDescent="0.25">
      <c r="A345" s="44" t="s">
        <v>241</v>
      </c>
      <c r="B345" s="44" t="s">
        <v>244</v>
      </c>
      <c r="C345" s="46" t="s">
        <v>165</v>
      </c>
      <c r="D345" s="153"/>
      <c r="E345" s="149"/>
      <c r="F345" s="149"/>
      <c r="G345" s="149"/>
      <c r="N345" s="149">
        <f t="shared" si="15"/>
        <v>0</v>
      </c>
    </row>
    <row r="346" spans="1:14" x14ac:dyDescent="0.25">
      <c r="A346" s="4" t="s">
        <v>241</v>
      </c>
      <c r="B346" s="4" t="s">
        <v>245</v>
      </c>
      <c r="C346" s="5" t="s">
        <v>82</v>
      </c>
      <c r="D346" s="153">
        <v>137467</v>
      </c>
      <c r="E346" s="149"/>
      <c r="F346" s="149">
        <v>2749</v>
      </c>
      <c r="G346" s="149">
        <v>2864</v>
      </c>
      <c r="N346" s="149">
        <f t="shared" si="15"/>
        <v>5613</v>
      </c>
    </row>
    <row r="347" spans="1:14" x14ac:dyDescent="0.25">
      <c r="A347" s="4" t="s">
        <v>241</v>
      </c>
      <c r="B347" s="4" t="s">
        <v>90</v>
      </c>
      <c r="C347" s="5" t="s">
        <v>82</v>
      </c>
      <c r="D347" s="153"/>
      <c r="E347" s="149"/>
      <c r="F347" s="149"/>
      <c r="G347" s="149"/>
      <c r="N347" s="149">
        <f t="shared" si="15"/>
        <v>0</v>
      </c>
    </row>
    <row r="348" spans="1:14" ht="26.25" x14ac:dyDescent="0.25">
      <c r="A348" s="4" t="s">
        <v>241</v>
      </c>
      <c r="B348" s="4" t="s">
        <v>83</v>
      </c>
      <c r="C348" s="5" t="s">
        <v>82</v>
      </c>
      <c r="D348" s="153">
        <v>89113</v>
      </c>
      <c r="E348" s="149"/>
      <c r="F348" s="149">
        <v>2615</v>
      </c>
      <c r="G348" s="149"/>
      <c r="N348" s="149">
        <f t="shared" si="15"/>
        <v>2615</v>
      </c>
    </row>
    <row r="349" spans="1:14" x14ac:dyDescent="0.25">
      <c r="A349" s="4" t="s">
        <v>241</v>
      </c>
      <c r="B349" s="4" t="s">
        <v>85</v>
      </c>
      <c r="C349" s="5" t="s">
        <v>86</v>
      </c>
      <c r="D349" s="153">
        <v>27422</v>
      </c>
      <c r="E349" s="149"/>
      <c r="F349" s="149">
        <v>548</v>
      </c>
      <c r="G349" s="149">
        <v>571</v>
      </c>
      <c r="N349" s="149">
        <f t="shared" si="15"/>
        <v>1119</v>
      </c>
    </row>
    <row r="350" spans="1:14" ht="26.25" x14ac:dyDescent="0.25">
      <c r="A350" s="4" t="s">
        <v>241</v>
      </c>
      <c r="B350" s="4" t="s">
        <v>88</v>
      </c>
      <c r="C350" s="5" t="s">
        <v>86</v>
      </c>
      <c r="D350" s="153"/>
      <c r="E350" s="149"/>
      <c r="F350" s="149"/>
      <c r="G350" s="149"/>
      <c r="N350" s="149">
        <f t="shared" si="15"/>
        <v>0</v>
      </c>
    </row>
    <row r="351" spans="1:14" ht="26.25" x14ac:dyDescent="0.25">
      <c r="A351" s="4" t="s">
        <v>241</v>
      </c>
      <c r="B351" s="4" t="s">
        <v>89</v>
      </c>
      <c r="C351" s="5" t="s">
        <v>86</v>
      </c>
      <c r="D351" s="153"/>
      <c r="E351" s="149"/>
      <c r="F351" s="149"/>
      <c r="G351" s="149"/>
      <c r="N351" s="149">
        <f t="shared" si="15"/>
        <v>0</v>
      </c>
    </row>
    <row r="352" spans="1:14" x14ac:dyDescent="0.25">
      <c r="A352" s="4" t="s">
        <v>241</v>
      </c>
      <c r="B352" s="4" t="s">
        <v>90</v>
      </c>
      <c r="C352" s="5" t="s">
        <v>86</v>
      </c>
      <c r="D352" s="153"/>
      <c r="E352" s="149"/>
      <c r="F352" s="149"/>
      <c r="G352" s="149"/>
      <c r="N352" s="149">
        <f t="shared" si="15"/>
        <v>0</v>
      </c>
    </row>
    <row r="353" spans="1:14" ht="26.25" x14ac:dyDescent="0.25">
      <c r="A353" s="4" t="s">
        <v>241</v>
      </c>
      <c r="B353" s="4" t="s">
        <v>87</v>
      </c>
      <c r="C353" s="5" t="s">
        <v>86</v>
      </c>
      <c r="D353" s="153">
        <v>8236</v>
      </c>
      <c r="E353" s="149"/>
      <c r="F353" s="149">
        <v>215</v>
      </c>
      <c r="G353" s="149"/>
      <c r="N353" s="149">
        <f t="shared" si="15"/>
        <v>215</v>
      </c>
    </row>
    <row r="354" spans="1:14" x14ac:dyDescent="0.25">
      <c r="A354" s="4" t="s">
        <v>241</v>
      </c>
      <c r="B354" s="4" t="s">
        <v>97</v>
      </c>
      <c r="C354" s="5" t="s">
        <v>96</v>
      </c>
      <c r="D354" s="153"/>
      <c r="E354" s="149"/>
      <c r="F354" s="149"/>
      <c r="G354" s="149"/>
      <c r="N354" s="149">
        <f t="shared" si="15"/>
        <v>0</v>
      </c>
    </row>
    <row r="355" spans="1:14" x14ac:dyDescent="0.25">
      <c r="A355" s="4" t="s">
        <v>241</v>
      </c>
      <c r="B355" s="4" t="s">
        <v>246</v>
      </c>
      <c r="C355" s="5" t="s">
        <v>104</v>
      </c>
      <c r="D355" s="153"/>
      <c r="E355" s="149"/>
      <c r="F355" s="149"/>
      <c r="G355" s="149"/>
      <c r="N355" s="149">
        <f t="shared" si="15"/>
        <v>0</v>
      </c>
    </row>
    <row r="356" spans="1:14" x14ac:dyDescent="0.25">
      <c r="A356" s="4" t="s">
        <v>241</v>
      </c>
      <c r="B356" s="4" t="s">
        <v>103</v>
      </c>
      <c r="C356" s="5" t="s">
        <v>104</v>
      </c>
      <c r="D356" s="153"/>
      <c r="E356" s="149"/>
      <c r="F356" s="149"/>
      <c r="G356" s="149"/>
      <c r="N356" s="149">
        <f t="shared" si="15"/>
        <v>0</v>
      </c>
    </row>
    <row r="357" spans="1:14" x14ac:dyDescent="0.25">
      <c r="A357" s="4" t="s">
        <v>241</v>
      </c>
      <c r="B357" s="4" t="s">
        <v>91</v>
      </c>
      <c r="C357" s="5" t="s">
        <v>86</v>
      </c>
      <c r="D357" s="153">
        <v>117656</v>
      </c>
      <c r="E357" s="149"/>
      <c r="F357" s="149"/>
      <c r="G357" s="149"/>
      <c r="N357" s="149">
        <f t="shared" si="15"/>
        <v>0</v>
      </c>
    </row>
    <row r="358" spans="1:14" ht="26.25" x14ac:dyDescent="0.25">
      <c r="A358" s="4" t="s">
        <v>241</v>
      </c>
      <c r="B358" s="4" t="s">
        <v>247</v>
      </c>
      <c r="C358" s="5" t="s">
        <v>93</v>
      </c>
      <c r="D358" s="153">
        <v>3460</v>
      </c>
      <c r="E358" s="149"/>
      <c r="F358" s="149"/>
      <c r="G358" s="149"/>
      <c r="I358" s="149">
        <f t="shared" ref="I358:I359" si="17">D358+F358+G358</f>
        <v>3460</v>
      </c>
      <c r="K358" s="149">
        <f t="shared" ref="K358:K359" si="18">I358-D358</f>
        <v>0</v>
      </c>
      <c r="N358" s="149">
        <f t="shared" si="15"/>
        <v>0</v>
      </c>
    </row>
    <row r="359" spans="1:14" ht="26.25" x14ac:dyDescent="0.25">
      <c r="A359" s="4" t="s">
        <v>241</v>
      </c>
      <c r="B359" s="4" t="s">
        <v>196</v>
      </c>
      <c r="C359" s="5" t="s">
        <v>93</v>
      </c>
      <c r="D359" s="153">
        <v>1610</v>
      </c>
      <c r="E359" s="149"/>
      <c r="F359" s="149"/>
      <c r="G359" s="149"/>
      <c r="I359" s="149">
        <f t="shared" si="17"/>
        <v>1610</v>
      </c>
      <c r="K359" s="149">
        <f t="shared" si="18"/>
        <v>0</v>
      </c>
      <c r="N359" s="149">
        <f t="shared" si="15"/>
        <v>0</v>
      </c>
    </row>
    <row r="360" spans="1:14" ht="26.25" x14ac:dyDescent="0.25">
      <c r="A360" s="4" t="s">
        <v>241</v>
      </c>
      <c r="B360" s="4" t="s">
        <v>84</v>
      </c>
      <c r="C360" s="5" t="s">
        <v>82</v>
      </c>
      <c r="D360" s="153">
        <v>54968</v>
      </c>
      <c r="E360" s="149"/>
      <c r="F360" s="149"/>
      <c r="G360" s="149"/>
      <c r="N360" s="149">
        <f t="shared" si="15"/>
        <v>0</v>
      </c>
    </row>
    <row r="361" spans="1:14" x14ac:dyDescent="0.25">
      <c r="A361" s="4" t="s">
        <v>241</v>
      </c>
      <c r="B361" s="4" t="s">
        <v>100</v>
      </c>
      <c r="C361" s="5" t="s">
        <v>101</v>
      </c>
      <c r="D361" s="153"/>
      <c r="E361" s="149"/>
      <c r="F361" s="149"/>
      <c r="G361" s="149"/>
      <c r="N361" s="149">
        <f t="shared" si="15"/>
        <v>0</v>
      </c>
    </row>
    <row r="362" spans="1:14" x14ac:dyDescent="0.25">
      <c r="A362" s="4" t="s">
        <v>241</v>
      </c>
      <c r="B362" s="4" t="s">
        <v>105</v>
      </c>
      <c r="C362" s="5"/>
      <c r="D362" s="153">
        <v>11491</v>
      </c>
      <c r="E362" s="149"/>
      <c r="F362" s="149"/>
      <c r="G362" s="149"/>
      <c r="N362" s="149">
        <f t="shared" si="15"/>
        <v>0</v>
      </c>
    </row>
    <row r="363" spans="1:14" x14ac:dyDescent="0.25">
      <c r="A363" s="4" t="s">
        <v>241</v>
      </c>
      <c r="B363" s="4" t="s">
        <v>106</v>
      </c>
      <c r="C363" s="5"/>
      <c r="D363" s="153">
        <v>9019</v>
      </c>
      <c r="E363" s="149"/>
      <c r="F363" s="149"/>
      <c r="G363" s="149"/>
      <c r="N363" s="149">
        <f t="shared" si="15"/>
        <v>0</v>
      </c>
    </row>
    <row r="364" spans="1:14" x14ac:dyDescent="0.25">
      <c r="A364" s="16" t="s">
        <v>248</v>
      </c>
      <c r="B364" s="16" t="s">
        <v>108</v>
      </c>
      <c r="C364" s="17"/>
      <c r="D364" s="105">
        <f t="shared" ref="D364:G364" si="19">SUM(D335:D363)</f>
        <v>728509</v>
      </c>
      <c r="E364" s="149"/>
      <c r="F364" s="36">
        <f t="shared" si="19"/>
        <v>11491</v>
      </c>
      <c r="G364" s="36">
        <f t="shared" si="19"/>
        <v>9019</v>
      </c>
      <c r="N364" s="149">
        <f t="shared" si="15"/>
        <v>20510</v>
      </c>
    </row>
    <row r="365" spans="1:14" x14ac:dyDescent="0.25">
      <c r="A365" s="4" t="s">
        <v>249</v>
      </c>
      <c r="B365" s="4" t="s">
        <v>56</v>
      </c>
      <c r="C365" s="5" t="s">
        <v>57</v>
      </c>
      <c r="D365" s="153">
        <v>12740</v>
      </c>
      <c r="E365" s="149"/>
      <c r="F365" s="149">
        <v>255</v>
      </c>
      <c r="G365" s="149">
        <v>265</v>
      </c>
      <c r="N365" s="149">
        <f t="shared" si="15"/>
        <v>520</v>
      </c>
    </row>
    <row r="366" spans="1:14" x14ac:dyDescent="0.25">
      <c r="A366" s="4" t="s">
        <v>249</v>
      </c>
      <c r="B366" s="4" t="s">
        <v>98</v>
      </c>
      <c r="C366" s="5" t="s">
        <v>99</v>
      </c>
      <c r="D366" s="153"/>
      <c r="E366" s="149"/>
      <c r="F366" s="149"/>
      <c r="G366" s="149"/>
      <c r="N366" s="149">
        <f t="shared" si="15"/>
        <v>0</v>
      </c>
    </row>
    <row r="367" spans="1:14" ht="26.25" x14ac:dyDescent="0.25">
      <c r="A367" s="4" t="s">
        <v>249</v>
      </c>
      <c r="B367" s="4" t="s">
        <v>250</v>
      </c>
      <c r="C367" s="5" t="s">
        <v>60</v>
      </c>
      <c r="D367" s="153">
        <v>112432</v>
      </c>
      <c r="E367" s="149"/>
      <c r="F367" s="149">
        <v>2249</v>
      </c>
      <c r="G367" s="149">
        <v>2342</v>
      </c>
      <c r="N367" s="149">
        <f t="shared" si="15"/>
        <v>4591</v>
      </c>
    </row>
    <row r="368" spans="1:14" x14ac:dyDescent="0.25">
      <c r="A368" s="4" t="s">
        <v>249</v>
      </c>
      <c r="B368" s="4" t="s">
        <v>251</v>
      </c>
      <c r="C368" s="5" t="s">
        <v>60</v>
      </c>
      <c r="D368" s="153"/>
      <c r="E368" s="149"/>
      <c r="F368" s="149"/>
      <c r="G368" s="149"/>
      <c r="N368" s="149">
        <f t="shared" si="15"/>
        <v>0</v>
      </c>
    </row>
    <row r="369" spans="1:14" x14ac:dyDescent="0.25">
      <c r="A369" s="4" t="s">
        <v>249</v>
      </c>
      <c r="B369" s="4" t="s">
        <v>252</v>
      </c>
      <c r="C369" s="5" t="s">
        <v>60</v>
      </c>
      <c r="D369" s="153"/>
      <c r="E369" s="149"/>
      <c r="F369" s="149"/>
      <c r="G369" s="149"/>
      <c r="N369" s="149">
        <f t="shared" si="15"/>
        <v>0</v>
      </c>
    </row>
    <row r="370" spans="1:14" ht="26.25" x14ac:dyDescent="0.25">
      <c r="A370" s="4" t="s">
        <v>249</v>
      </c>
      <c r="B370" s="4" t="s">
        <v>253</v>
      </c>
      <c r="C370" s="6" t="s">
        <v>165</v>
      </c>
      <c r="D370" s="153"/>
      <c r="E370" s="149"/>
      <c r="F370" s="149"/>
      <c r="G370" s="149"/>
      <c r="N370" s="149">
        <f t="shared" si="15"/>
        <v>0</v>
      </c>
    </row>
    <row r="371" spans="1:14" ht="26.25" x14ac:dyDescent="0.25">
      <c r="A371" s="4" t="s">
        <v>249</v>
      </c>
      <c r="B371" s="4" t="s">
        <v>228</v>
      </c>
      <c r="C371" s="6" t="s">
        <v>165</v>
      </c>
      <c r="D371" s="153"/>
      <c r="E371" s="149"/>
      <c r="F371" s="149"/>
      <c r="G371" s="149"/>
      <c r="N371" s="149">
        <f t="shared" si="15"/>
        <v>0</v>
      </c>
    </row>
    <row r="372" spans="1:14" ht="26.25" x14ac:dyDescent="0.25">
      <c r="A372" s="4" t="s">
        <v>249</v>
      </c>
      <c r="B372" s="4" t="s">
        <v>254</v>
      </c>
      <c r="C372" s="5" t="s">
        <v>70</v>
      </c>
      <c r="D372" s="153">
        <v>1780</v>
      </c>
      <c r="E372" s="149"/>
      <c r="F372" s="149">
        <v>36</v>
      </c>
      <c r="G372" s="149">
        <v>37</v>
      </c>
      <c r="N372" s="149">
        <f t="shared" si="15"/>
        <v>73</v>
      </c>
    </row>
    <row r="373" spans="1:14" ht="26.25" x14ac:dyDescent="0.25">
      <c r="A373" s="4" t="s">
        <v>249</v>
      </c>
      <c r="B373" s="4" t="s">
        <v>255</v>
      </c>
      <c r="C373" s="5" t="s">
        <v>79</v>
      </c>
      <c r="D373" s="153">
        <v>8869</v>
      </c>
      <c r="E373" s="149"/>
      <c r="F373" s="149">
        <v>177</v>
      </c>
      <c r="G373" s="149">
        <v>185</v>
      </c>
      <c r="N373" s="149">
        <f t="shared" si="15"/>
        <v>362</v>
      </c>
    </row>
    <row r="374" spans="1:14" x14ac:dyDescent="0.25">
      <c r="A374" s="4" t="s">
        <v>249</v>
      </c>
      <c r="B374" s="4" t="s">
        <v>256</v>
      </c>
      <c r="C374" s="5" t="s">
        <v>73</v>
      </c>
      <c r="D374" s="153">
        <v>7519</v>
      </c>
      <c r="E374" s="149"/>
      <c r="F374" s="149">
        <v>150</v>
      </c>
      <c r="G374" s="149">
        <v>157</v>
      </c>
      <c r="N374" s="149">
        <f t="shared" si="15"/>
        <v>307</v>
      </c>
    </row>
    <row r="375" spans="1:14" x14ac:dyDescent="0.25">
      <c r="A375" s="4" t="s">
        <v>249</v>
      </c>
      <c r="B375" s="4" t="s">
        <v>257</v>
      </c>
      <c r="C375" s="5" t="s">
        <v>73</v>
      </c>
      <c r="D375" s="153">
        <v>8379</v>
      </c>
      <c r="E375" s="149"/>
      <c r="F375" s="149">
        <v>168</v>
      </c>
      <c r="G375" s="149">
        <v>175</v>
      </c>
      <c r="N375" s="149">
        <f t="shared" si="15"/>
        <v>343</v>
      </c>
    </row>
    <row r="376" spans="1:14" ht="26.25" x14ac:dyDescent="0.25">
      <c r="A376" s="4" t="s">
        <v>249</v>
      </c>
      <c r="B376" s="4" t="s">
        <v>258</v>
      </c>
      <c r="C376" s="5" t="s">
        <v>73</v>
      </c>
      <c r="D376" s="153">
        <v>37062</v>
      </c>
      <c r="E376" s="149"/>
      <c r="F376" s="149"/>
      <c r="G376" s="149"/>
      <c r="N376" s="149">
        <f t="shared" si="15"/>
        <v>0</v>
      </c>
    </row>
    <row r="377" spans="1:14" x14ac:dyDescent="0.25">
      <c r="A377" s="4" t="s">
        <v>249</v>
      </c>
      <c r="B377" s="4" t="s">
        <v>259</v>
      </c>
      <c r="C377" s="5" t="s">
        <v>73</v>
      </c>
      <c r="D377" s="153"/>
      <c r="E377" s="149"/>
      <c r="F377" s="149">
        <v>741</v>
      </c>
      <c r="G377" s="149">
        <v>772</v>
      </c>
      <c r="N377" s="149">
        <f t="shared" si="15"/>
        <v>1513</v>
      </c>
    </row>
    <row r="378" spans="1:14" x14ac:dyDescent="0.25">
      <c r="A378" s="4" t="s">
        <v>249</v>
      </c>
      <c r="B378" s="4" t="s">
        <v>97</v>
      </c>
      <c r="C378" s="5" t="s">
        <v>96</v>
      </c>
      <c r="D378" s="153"/>
      <c r="E378" s="149"/>
      <c r="F378" s="149"/>
      <c r="G378" s="149"/>
      <c r="N378" s="149">
        <f t="shared" si="15"/>
        <v>0</v>
      </c>
    </row>
    <row r="379" spans="1:14" ht="26.25" x14ac:dyDescent="0.25">
      <c r="A379" s="4" t="s">
        <v>249</v>
      </c>
      <c r="B379" s="4" t="s">
        <v>260</v>
      </c>
      <c r="C379" s="5" t="s">
        <v>104</v>
      </c>
      <c r="D379" s="153"/>
      <c r="E379" s="149"/>
      <c r="F379" s="149"/>
      <c r="G379" s="149"/>
      <c r="N379" s="149">
        <f t="shared" si="15"/>
        <v>0</v>
      </c>
    </row>
    <row r="380" spans="1:14" x14ac:dyDescent="0.25">
      <c r="A380" s="4" t="s">
        <v>249</v>
      </c>
      <c r="B380" s="4" t="s">
        <v>100</v>
      </c>
      <c r="C380" s="5" t="s">
        <v>101</v>
      </c>
      <c r="D380" s="153"/>
      <c r="E380" s="149"/>
      <c r="F380" s="149"/>
      <c r="G380" s="149"/>
      <c r="N380" s="149">
        <f t="shared" si="15"/>
        <v>0</v>
      </c>
    </row>
    <row r="381" spans="1:14" x14ac:dyDescent="0.25">
      <c r="A381" s="4" t="s">
        <v>249</v>
      </c>
      <c r="B381" s="4" t="s">
        <v>261</v>
      </c>
      <c r="C381" s="5" t="s">
        <v>73</v>
      </c>
      <c r="D381" s="153"/>
      <c r="E381" s="149"/>
      <c r="F381" s="149"/>
      <c r="G381" s="149"/>
      <c r="N381" s="149">
        <f t="shared" si="15"/>
        <v>0</v>
      </c>
    </row>
    <row r="382" spans="1:14" x14ac:dyDescent="0.25">
      <c r="A382" s="4" t="s">
        <v>249</v>
      </c>
      <c r="B382" s="4" t="s">
        <v>262</v>
      </c>
      <c r="C382" s="5" t="s">
        <v>60</v>
      </c>
      <c r="D382" s="153"/>
      <c r="E382" s="149"/>
      <c r="F382" s="149"/>
      <c r="G382" s="149"/>
      <c r="N382" s="149">
        <f t="shared" si="15"/>
        <v>0</v>
      </c>
    </row>
    <row r="383" spans="1:14" ht="26.25" x14ac:dyDescent="0.25">
      <c r="A383" s="4" t="s">
        <v>249</v>
      </c>
      <c r="B383" s="4" t="s">
        <v>62</v>
      </c>
      <c r="C383" s="5" t="s">
        <v>60</v>
      </c>
      <c r="D383" s="153"/>
      <c r="E383" s="149"/>
      <c r="F383" s="149"/>
      <c r="G383" s="149"/>
      <c r="N383" s="149">
        <f t="shared" si="15"/>
        <v>0</v>
      </c>
    </row>
    <row r="384" spans="1:14" x14ac:dyDescent="0.25">
      <c r="A384" s="4" t="s">
        <v>249</v>
      </c>
      <c r="B384" s="4" t="s">
        <v>64</v>
      </c>
      <c r="C384" s="5" t="s">
        <v>60</v>
      </c>
      <c r="D384" s="153"/>
      <c r="E384" s="149"/>
      <c r="F384" s="149"/>
      <c r="G384" s="149"/>
      <c r="N384" s="149">
        <f t="shared" si="15"/>
        <v>0</v>
      </c>
    </row>
    <row r="385" spans="1:14" x14ac:dyDescent="0.25">
      <c r="A385" s="4" t="s">
        <v>249</v>
      </c>
      <c r="B385" s="4" t="s">
        <v>105</v>
      </c>
      <c r="C385" s="5"/>
      <c r="D385" s="153">
        <v>3776</v>
      </c>
      <c r="E385" s="149"/>
      <c r="F385" s="149"/>
      <c r="G385" s="149"/>
      <c r="N385" s="149">
        <f t="shared" si="15"/>
        <v>0</v>
      </c>
    </row>
    <row r="386" spans="1:14" x14ac:dyDescent="0.25">
      <c r="A386" s="4" t="s">
        <v>249</v>
      </c>
      <c r="B386" s="4" t="s">
        <v>106</v>
      </c>
      <c r="C386" s="5"/>
      <c r="D386" s="153">
        <v>3933</v>
      </c>
      <c r="E386" s="149"/>
      <c r="F386" s="149"/>
      <c r="G386" s="149"/>
      <c r="N386" s="149">
        <f t="shared" si="15"/>
        <v>0</v>
      </c>
    </row>
    <row r="387" spans="1:14" x14ac:dyDescent="0.25">
      <c r="A387" s="16" t="s">
        <v>263</v>
      </c>
      <c r="B387" s="16" t="s">
        <v>108</v>
      </c>
      <c r="C387" s="17"/>
      <c r="D387" s="105">
        <f t="shared" ref="D387:G387" si="20">SUM(D365:D386)</f>
        <v>196490</v>
      </c>
      <c r="E387" s="149">
        <f t="shared" si="20"/>
        <v>0</v>
      </c>
      <c r="F387" s="36">
        <f t="shared" si="20"/>
        <v>3776</v>
      </c>
      <c r="G387" s="36">
        <f t="shared" si="20"/>
        <v>3933</v>
      </c>
      <c r="N387" s="149">
        <f t="shared" si="15"/>
        <v>7709</v>
      </c>
    </row>
    <row r="388" spans="1:14" x14ac:dyDescent="0.25">
      <c r="A388" s="4" t="s">
        <v>264</v>
      </c>
      <c r="B388" s="4" t="s">
        <v>125</v>
      </c>
      <c r="C388" s="5" t="s">
        <v>57</v>
      </c>
      <c r="D388" s="153">
        <v>24056</v>
      </c>
      <c r="E388" s="149"/>
      <c r="F388" s="149">
        <v>481</v>
      </c>
      <c r="G388" s="149">
        <v>501</v>
      </c>
      <c r="N388" s="149">
        <f t="shared" si="15"/>
        <v>982</v>
      </c>
    </row>
    <row r="389" spans="1:14" x14ac:dyDescent="0.25">
      <c r="A389" s="4" t="s">
        <v>264</v>
      </c>
      <c r="B389" s="4" t="s">
        <v>126</v>
      </c>
      <c r="C389" s="5" t="s">
        <v>73</v>
      </c>
      <c r="D389" s="153">
        <v>8973</v>
      </c>
      <c r="E389" s="149"/>
      <c r="F389" s="149">
        <v>179</v>
      </c>
      <c r="G389" s="149">
        <v>187</v>
      </c>
      <c r="N389" s="149">
        <f t="shared" si="15"/>
        <v>366</v>
      </c>
    </row>
    <row r="390" spans="1:14" x14ac:dyDescent="0.25">
      <c r="A390" s="4" t="s">
        <v>264</v>
      </c>
      <c r="B390" s="4" t="s">
        <v>265</v>
      </c>
      <c r="C390" s="5" t="s">
        <v>73</v>
      </c>
      <c r="D390" s="153"/>
      <c r="E390" s="149"/>
      <c r="F390" s="149"/>
      <c r="G390" s="149"/>
      <c r="N390" s="149">
        <f t="shared" si="15"/>
        <v>0</v>
      </c>
    </row>
    <row r="391" spans="1:14" x14ac:dyDescent="0.25">
      <c r="A391" s="4" t="s">
        <v>264</v>
      </c>
      <c r="B391" s="4" t="s">
        <v>98</v>
      </c>
      <c r="C391" s="5" t="s">
        <v>99</v>
      </c>
      <c r="D391" s="153"/>
      <c r="E391" s="149"/>
      <c r="F391" s="149"/>
      <c r="G391" s="149"/>
      <c r="N391" s="149">
        <f t="shared" si="15"/>
        <v>0</v>
      </c>
    </row>
    <row r="392" spans="1:14" x14ac:dyDescent="0.25">
      <c r="A392" s="4" t="s">
        <v>264</v>
      </c>
      <c r="B392" s="4" t="s">
        <v>224</v>
      </c>
      <c r="C392" s="5" t="s">
        <v>104</v>
      </c>
      <c r="D392" s="153"/>
      <c r="E392" s="149"/>
      <c r="F392" s="149"/>
      <c r="G392" s="149"/>
      <c r="N392" s="149">
        <f t="shared" si="15"/>
        <v>0</v>
      </c>
    </row>
    <row r="393" spans="1:14" x14ac:dyDescent="0.25">
      <c r="A393" s="4" t="s">
        <v>264</v>
      </c>
      <c r="B393" s="4" t="s">
        <v>229</v>
      </c>
      <c r="C393" s="5" t="s">
        <v>60</v>
      </c>
      <c r="D393" s="153">
        <v>111468</v>
      </c>
      <c r="E393" s="149"/>
      <c r="F393" s="149">
        <v>2229</v>
      </c>
      <c r="G393" s="149">
        <v>2322</v>
      </c>
      <c r="N393" s="149">
        <f t="shared" ref="N393:N456" si="21">G393+F393</f>
        <v>4551</v>
      </c>
    </row>
    <row r="394" spans="1:14" ht="26.25" x14ac:dyDescent="0.25">
      <c r="A394" s="4" t="s">
        <v>264</v>
      </c>
      <c r="B394" s="4" t="s">
        <v>62</v>
      </c>
      <c r="C394" s="5" t="s">
        <v>60</v>
      </c>
      <c r="D394" s="153"/>
      <c r="E394" s="149"/>
      <c r="F394" s="149"/>
      <c r="G394" s="149"/>
      <c r="N394" s="149">
        <f t="shared" si="21"/>
        <v>0</v>
      </c>
    </row>
    <row r="395" spans="1:14" x14ac:dyDescent="0.25">
      <c r="A395" s="4" t="s">
        <v>264</v>
      </c>
      <c r="B395" s="4" t="s">
        <v>64</v>
      </c>
      <c r="C395" s="5" t="s">
        <v>60</v>
      </c>
      <c r="D395" s="153"/>
      <c r="E395" s="149"/>
      <c r="F395" s="149"/>
      <c r="G395" s="149"/>
      <c r="N395" s="149">
        <f t="shared" si="21"/>
        <v>0</v>
      </c>
    </row>
    <row r="396" spans="1:14" x14ac:dyDescent="0.25">
      <c r="A396" s="4" t="s">
        <v>264</v>
      </c>
      <c r="B396" s="4" t="s">
        <v>77</v>
      </c>
      <c r="C396" s="5" t="s">
        <v>73</v>
      </c>
      <c r="D396" s="153">
        <v>19132</v>
      </c>
      <c r="E396" s="149"/>
      <c r="F396" s="149">
        <v>383</v>
      </c>
      <c r="G396" s="149">
        <v>399</v>
      </c>
      <c r="N396" s="149">
        <f t="shared" si="21"/>
        <v>782</v>
      </c>
    </row>
    <row r="397" spans="1:14" x14ac:dyDescent="0.25">
      <c r="A397" s="4" t="s">
        <v>264</v>
      </c>
      <c r="B397" s="4" t="s">
        <v>235</v>
      </c>
      <c r="C397" s="5" t="s">
        <v>79</v>
      </c>
      <c r="D397" s="153">
        <v>2076</v>
      </c>
      <c r="E397" s="149"/>
      <c r="F397" s="149">
        <v>42</v>
      </c>
      <c r="G397" s="149">
        <v>43</v>
      </c>
      <c r="N397" s="149">
        <f t="shared" si="21"/>
        <v>85</v>
      </c>
    </row>
    <row r="398" spans="1:14" x14ac:dyDescent="0.25">
      <c r="A398" s="4" t="s">
        <v>264</v>
      </c>
      <c r="B398" s="4" t="s">
        <v>266</v>
      </c>
      <c r="C398" s="5" t="s">
        <v>67</v>
      </c>
      <c r="D398" s="153">
        <v>11420</v>
      </c>
      <c r="E398" s="149"/>
      <c r="F398" s="149">
        <v>228</v>
      </c>
      <c r="G398" s="149">
        <v>238</v>
      </c>
      <c r="N398" s="149">
        <f t="shared" si="21"/>
        <v>466</v>
      </c>
    </row>
    <row r="399" spans="1:14" x14ac:dyDescent="0.25">
      <c r="A399" s="4" t="s">
        <v>264</v>
      </c>
      <c r="B399" s="4" t="s">
        <v>267</v>
      </c>
      <c r="C399" s="5" t="s">
        <v>268</v>
      </c>
      <c r="D399" s="153"/>
      <c r="E399" s="149"/>
      <c r="F399" s="149"/>
      <c r="G399" s="149"/>
      <c r="N399" s="149">
        <f t="shared" si="21"/>
        <v>0</v>
      </c>
    </row>
    <row r="400" spans="1:14" x14ac:dyDescent="0.25">
      <c r="A400" s="4" t="s">
        <v>264</v>
      </c>
      <c r="B400" s="4" t="s">
        <v>181</v>
      </c>
      <c r="C400" s="5" t="s">
        <v>82</v>
      </c>
      <c r="D400" s="153">
        <v>16907</v>
      </c>
      <c r="E400" s="149"/>
      <c r="F400" s="149">
        <v>338</v>
      </c>
      <c r="G400" s="149">
        <v>352</v>
      </c>
      <c r="N400" s="149">
        <f t="shared" si="21"/>
        <v>690</v>
      </c>
    </row>
    <row r="401" spans="1:14" ht="26.25" x14ac:dyDescent="0.25">
      <c r="A401" s="4" t="s">
        <v>264</v>
      </c>
      <c r="B401" s="4" t="s">
        <v>83</v>
      </c>
      <c r="C401" s="5" t="s">
        <v>82</v>
      </c>
      <c r="D401" s="153">
        <v>15820</v>
      </c>
      <c r="E401" s="149"/>
      <c r="F401" s="149">
        <v>475</v>
      </c>
      <c r="G401" s="149"/>
      <c r="N401" s="149">
        <f t="shared" si="21"/>
        <v>475</v>
      </c>
    </row>
    <row r="402" spans="1:14" x14ac:dyDescent="0.25">
      <c r="A402" s="4" t="s">
        <v>264</v>
      </c>
      <c r="B402" s="4" t="s">
        <v>85</v>
      </c>
      <c r="C402" s="5" t="s">
        <v>86</v>
      </c>
      <c r="D402" s="153">
        <v>32020</v>
      </c>
      <c r="E402" s="149"/>
      <c r="F402" s="149">
        <v>640</v>
      </c>
      <c r="G402" s="149">
        <v>667</v>
      </c>
      <c r="N402" s="149">
        <f t="shared" si="21"/>
        <v>1307</v>
      </c>
    </row>
    <row r="403" spans="1:14" ht="26.25" x14ac:dyDescent="0.25">
      <c r="A403" s="4" t="s">
        <v>264</v>
      </c>
      <c r="B403" s="4" t="s">
        <v>87</v>
      </c>
      <c r="C403" s="5" t="s">
        <v>86</v>
      </c>
      <c r="D403" s="153">
        <v>25598</v>
      </c>
      <c r="E403" s="149"/>
      <c r="F403" s="149">
        <v>688</v>
      </c>
      <c r="G403" s="149"/>
      <c r="N403" s="149">
        <f t="shared" si="21"/>
        <v>688</v>
      </c>
    </row>
    <row r="404" spans="1:14" ht="26.25" x14ac:dyDescent="0.25">
      <c r="A404" s="4" t="s">
        <v>264</v>
      </c>
      <c r="B404" s="4" t="s">
        <v>88</v>
      </c>
      <c r="C404" s="5" t="s">
        <v>86</v>
      </c>
      <c r="D404" s="153"/>
      <c r="E404" s="149"/>
      <c r="F404" s="149"/>
      <c r="G404" s="149"/>
      <c r="N404" s="149">
        <f t="shared" si="21"/>
        <v>0</v>
      </c>
    </row>
    <row r="405" spans="1:14" ht="26.25" x14ac:dyDescent="0.25">
      <c r="A405" s="4" t="s">
        <v>264</v>
      </c>
      <c r="B405" s="4" t="s">
        <v>89</v>
      </c>
      <c r="C405" s="5" t="s">
        <v>86</v>
      </c>
      <c r="D405" s="153"/>
      <c r="E405" s="149"/>
      <c r="F405" s="149"/>
      <c r="G405" s="149"/>
      <c r="N405" s="149">
        <f t="shared" si="21"/>
        <v>0</v>
      </c>
    </row>
    <row r="406" spans="1:14" x14ac:dyDescent="0.25">
      <c r="A406" s="4" t="s">
        <v>264</v>
      </c>
      <c r="B406" s="4" t="s">
        <v>90</v>
      </c>
      <c r="C406" s="5" t="s">
        <v>86</v>
      </c>
      <c r="D406" s="153"/>
      <c r="E406" s="149"/>
      <c r="F406" s="149"/>
      <c r="G406" s="149"/>
      <c r="N406" s="149">
        <f t="shared" si="21"/>
        <v>0</v>
      </c>
    </row>
    <row r="407" spans="1:14" x14ac:dyDescent="0.25">
      <c r="A407" s="4" t="s">
        <v>264</v>
      </c>
      <c r="B407" s="4" t="s">
        <v>69</v>
      </c>
      <c r="C407" s="5" t="s">
        <v>70</v>
      </c>
      <c r="D407" s="153">
        <v>1780</v>
      </c>
      <c r="E407" s="149"/>
      <c r="F407" s="149">
        <v>36</v>
      </c>
      <c r="G407" s="149">
        <v>37</v>
      </c>
      <c r="N407" s="149">
        <f t="shared" si="21"/>
        <v>73</v>
      </c>
    </row>
    <row r="408" spans="1:14" x14ac:dyDescent="0.25">
      <c r="A408" s="4" t="s">
        <v>264</v>
      </c>
      <c r="B408" s="4" t="s">
        <v>97</v>
      </c>
      <c r="C408" s="5" t="s">
        <v>96</v>
      </c>
      <c r="D408" s="153"/>
      <c r="E408" s="149"/>
      <c r="F408" s="149"/>
      <c r="G408" s="149"/>
      <c r="N408" s="149">
        <f t="shared" si="21"/>
        <v>0</v>
      </c>
    </row>
    <row r="409" spans="1:14" x14ac:dyDescent="0.25">
      <c r="A409" s="4" t="s">
        <v>264</v>
      </c>
      <c r="B409" s="4" t="s">
        <v>91</v>
      </c>
      <c r="C409" s="5" t="s">
        <v>86</v>
      </c>
      <c r="D409" s="153">
        <v>41280</v>
      </c>
      <c r="E409" s="149"/>
      <c r="F409" s="149"/>
      <c r="G409" s="149"/>
      <c r="N409" s="149">
        <f t="shared" si="21"/>
        <v>0</v>
      </c>
    </row>
    <row r="410" spans="1:14" ht="26.25" x14ac:dyDescent="0.25">
      <c r="A410" s="4" t="s">
        <v>264</v>
      </c>
      <c r="B410" s="4" t="s">
        <v>92</v>
      </c>
      <c r="C410" s="5" t="s">
        <v>93</v>
      </c>
      <c r="D410" s="153">
        <v>2414</v>
      </c>
      <c r="E410" s="149"/>
      <c r="F410" s="149"/>
      <c r="G410" s="149"/>
      <c r="I410" s="149">
        <f>D410+F410+G410</f>
        <v>2414</v>
      </c>
      <c r="K410" s="149">
        <f>I410-D410</f>
        <v>0</v>
      </c>
      <c r="N410" s="149">
        <f t="shared" si="21"/>
        <v>0</v>
      </c>
    </row>
    <row r="411" spans="1:14" ht="26.25" x14ac:dyDescent="0.25">
      <c r="A411" s="4" t="s">
        <v>264</v>
      </c>
      <c r="B411" s="4" t="s">
        <v>84</v>
      </c>
      <c r="C411" s="5" t="s">
        <v>82</v>
      </c>
      <c r="D411" s="153">
        <v>8872</v>
      </c>
      <c r="E411" s="149"/>
      <c r="F411" s="149"/>
      <c r="G411" s="149"/>
      <c r="N411" s="149">
        <f t="shared" si="21"/>
        <v>0</v>
      </c>
    </row>
    <row r="412" spans="1:14" x14ac:dyDescent="0.25">
      <c r="A412" s="4" t="s">
        <v>264</v>
      </c>
      <c r="B412" s="4" t="s">
        <v>100</v>
      </c>
      <c r="C412" s="5" t="s">
        <v>101</v>
      </c>
      <c r="D412" s="153"/>
      <c r="E412" s="149"/>
      <c r="F412" s="149"/>
      <c r="G412" s="149"/>
      <c r="N412" s="149">
        <f t="shared" si="21"/>
        <v>0</v>
      </c>
    </row>
    <row r="413" spans="1:14" x14ac:dyDescent="0.25">
      <c r="A413" s="4" t="s">
        <v>264</v>
      </c>
      <c r="B413" s="4" t="s">
        <v>105</v>
      </c>
      <c r="C413" s="5"/>
      <c r="D413" s="153">
        <v>5719</v>
      </c>
      <c r="E413" s="149"/>
      <c r="F413" s="149"/>
      <c r="G413" s="149"/>
      <c r="N413" s="149">
        <f t="shared" si="21"/>
        <v>0</v>
      </c>
    </row>
    <row r="414" spans="1:14" x14ac:dyDescent="0.25">
      <c r="A414" s="4" t="s">
        <v>264</v>
      </c>
      <c r="B414" s="4" t="s">
        <v>106</v>
      </c>
      <c r="C414" s="5"/>
      <c r="D414" s="153">
        <v>4746</v>
      </c>
      <c r="E414" s="149"/>
      <c r="F414" s="149"/>
      <c r="G414" s="149"/>
      <c r="N414" s="149">
        <f t="shared" si="21"/>
        <v>0</v>
      </c>
    </row>
    <row r="415" spans="1:14" x14ac:dyDescent="0.25">
      <c r="A415" s="16" t="s">
        <v>269</v>
      </c>
      <c r="B415" s="16" t="s">
        <v>108</v>
      </c>
      <c r="C415" s="17"/>
      <c r="D415" s="105">
        <f t="shared" ref="D415:G415" si="22">SUM(D388:D414)</f>
        <v>332281</v>
      </c>
      <c r="E415" s="149">
        <f t="shared" si="22"/>
        <v>0</v>
      </c>
      <c r="F415" s="36">
        <f t="shared" si="22"/>
        <v>5719</v>
      </c>
      <c r="G415" s="36">
        <f t="shared" si="22"/>
        <v>4746</v>
      </c>
      <c r="N415" s="149">
        <f t="shared" si="21"/>
        <v>10465</v>
      </c>
    </row>
    <row r="416" spans="1:14" ht="15.75" x14ac:dyDescent="0.25">
      <c r="A416" s="19"/>
      <c r="B416" s="19" t="s">
        <v>270</v>
      </c>
      <c r="C416" s="19"/>
      <c r="D416" s="19">
        <f t="shared" ref="D416:G416" si="23">D37+D69+D95+D127+D164+D191+D227+D259+D285+D304+D334+D364+D387+D415</f>
        <v>7245839</v>
      </c>
      <c r="E416" s="149">
        <f t="shared" si="23"/>
        <v>0</v>
      </c>
      <c r="F416" s="36">
        <f t="shared" si="23"/>
        <v>111437</v>
      </c>
      <c r="G416" s="36">
        <f t="shared" si="23"/>
        <v>99786</v>
      </c>
      <c r="N416" s="149">
        <f t="shared" si="21"/>
        <v>211223</v>
      </c>
    </row>
    <row r="417" spans="1:14" x14ac:dyDescent="0.25">
      <c r="A417" s="4" t="s">
        <v>271</v>
      </c>
      <c r="B417" s="4" t="s">
        <v>272</v>
      </c>
      <c r="C417" s="5" t="s">
        <v>82</v>
      </c>
      <c r="D417" s="153">
        <v>75059</v>
      </c>
      <c r="E417" s="149"/>
      <c r="F417" s="149">
        <v>1501</v>
      </c>
      <c r="G417" s="149">
        <v>1564</v>
      </c>
      <c r="N417" s="149">
        <f t="shared" si="21"/>
        <v>3065</v>
      </c>
    </row>
    <row r="418" spans="1:14" ht="26.25" x14ac:dyDescent="0.25">
      <c r="A418" s="4" t="s">
        <v>271</v>
      </c>
      <c r="B418" s="4" t="s">
        <v>273</v>
      </c>
      <c r="C418" s="5" t="s">
        <v>82</v>
      </c>
      <c r="D418" s="153">
        <v>76853</v>
      </c>
      <c r="E418" s="149"/>
      <c r="F418" s="149">
        <v>2253</v>
      </c>
      <c r="G418" s="149"/>
      <c r="N418" s="149">
        <f t="shared" si="21"/>
        <v>2253</v>
      </c>
    </row>
    <row r="419" spans="1:14" ht="27" customHeight="1" x14ac:dyDescent="0.25">
      <c r="A419" s="4" t="s">
        <v>271</v>
      </c>
      <c r="B419" s="4" t="s">
        <v>274</v>
      </c>
      <c r="C419" s="5" t="s">
        <v>82</v>
      </c>
      <c r="D419" s="153">
        <v>30296</v>
      </c>
      <c r="E419" s="149"/>
      <c r="F419" s="149"/>
      <c r="G419" s="149"/>
      <c r="N419" s="149">
        <f t="shared" si="21"/>
        <v>0</v>
      </c>
    </row>
    <row r="420" spans="1:14" ht="26.25" x14ac:dyDescent="0.25">
      <c r="A420" s="4" t="s">
        <v>271</v>
      </c>
      <c r="B420" s="4" t="s">
        <v>275</v>
      </c>
      <c r="C420" s="5" t="s">
        <v>93</v>
      </c>
      <c r="D420" s="153">
        <v>1610</v>
      </c>
      <c r="E420" s="149"/>
      <c r="F420" s="149"/>
      <c r="G420" s="149"/>
      <c r="I420" s="149">
        <f>D420+F420+G420</f>
        <v>1610</v>
      </c>
      <c r="K420" s="149">
        <f>I420-D420</f>
        <v>0</v>
      </c>
      <c r="N420" s="149">
        <f t="shared" si="21"/>
        <v>0</v>
      </c>
    </row>
    <row r="421" spans="1:14" x14ac:dyDescent="0.25">
      <c r="A421" s="4" t="s">
        <v>271</v>
      </c>
      <c r="B421" s="4" t="s">
        <v>276</v>
      </c>
      <c r="C421" s="5" t="s">
        <v>82</v>
      </c>
      <c r="D421" s="153">
        <v>144304</v>
      </c>
      <c r="E421" s="149"/>
      <c r="F421" s="149">
        <v>2886</v>
      </c>
      <c r="G421" s="149">
        <v>3006</v>
      </c>
      <c r="N421" s="149">
        <f t="shared" si="21"/>
        <v>5892</v>
      </c>
    </row>
    <row r="422" spans="1:14" ht="26.25" x14ac:dyDescent="0.25">
      <c r="A422" s="4" t="s">
        <v>271</v>
      </c>
      <c r="B422" s="4" t="s">
        <v>277</v>
      </c>
      <c r="C422" s="5" t="s">
        <v>82</v>
      </c>
      <c r="D422" s="153">
        <v>148070</v>
      </c>
      <c r="E422" s="149"/>
      <c r="F422" s="149">
        <v>4333</v>
      </c>
      <c r="G422" s="149"/>
      <c r="N422" s="149">
        <f t="shared" si="21"/>
        <v>4333</v>
      </c>
    </row>
    <row r="423" spans="1:14" ht="26.25" x14ac:dyDescent="0.25">
      <c r="A423" s="4" t="s">
        <v>271</v>
      </c>
      <c r="B423" s="4" t="s">
        <v>278</v>
      </c>
      <c r="C423" s="5" t="s">
        <v>82</v>
      </c>
      <c r="D423" s="153">
        <v>61264</v>
      </c>
      <c r="E423" s="149"/>
      <c r="F423" s="149"/>
      <c r="G423" s="149"/>
      <c r="N423" s="149">
        <f t="shared" si="21"/>
        <v>0</v>
      </c>
    </row>
    <row r="424" spans="1:14" ht="41.25" customHeight="1" x14ac:dyDescent="0.25">
      <c r="A424" s="4" t="s">
        <v>271</v>
      </c>
      <c r="B424" s="4" t="s">
        <v>279</v>
      </c>
      <c r="C424" s="5" t="s">
        <v>93</v>
      </c>
      <c r="D424" s="153">
        <v>565</v>
      </c>
      <c r="E424" s="149"/>
      <c r="F424" s="149"/>
      <c r="G424" s="149"/>
      <c r="I424" s="149">
        <f>D424+F424+G424</f>
        <v>565</v>
      </c>
      <c r="K424" s="149">
        <f>I424-D424</f>
        <v>0</v>
      </c>
      <c r="N424" s="149">
        <f t="shared" si="21"/>
        <v>0</v>
      </c>
    </row>
    <row r="425" spans="1:14" x14ac:dyDescent="0.25">
      <c r="A425" s="4" t="s">
        <v>271</v>
      </c>
      <c r="B425" s="4" t="s">
        <v>280</v>
      </c>
      <c r="C425" s="5" t="s">
        <v>82</v>
      </c>
      <c r="D425" s="153">
        <v>206460</v>
      </c>
      <c r="E425" s="149"/>
      <c r="F425" s="149">
        <v>4129</v>
      </c>
      <c r="G425" s="149">
        <v>4301</v>
      </c>
      <c r="N425" s="149">
        <f t="shared" si="21"/>
        <v>8430</v>
      </c>
    </row>
    <row r="426" spans="1:14" ht="26.25" x14ac:dyDescent="0.25">
      <c r="A426" s="4" t="s">
        <v>271</v>
      </c>
      <c r="B426" s="4" t="s">
        <v>281</v>
      </c>
      <c r="C426" s="5" t="s">
        <v>82</v>
      </c>
      <c r="D426" s="153">
        <v>195905</v>
      </c>
      <c r="E426" s="149"/>
      <c r="F426" s="149">
        <v>5746</v>
      </c>
      <c r="G426" s="149"/>
      <c r="N426" s="149">
        <f t="shared" si="21"/>
        <v>5746</v>
      </c>
    </row>
    <row r="427" spans="1:14" ht="26.25" x14ac:dyDescent="0.25">
      <c r="A427" s="4" t="s">
        <v>271</v>
      </c>
      <c r="B427" s="4" t="s">
        <v>282</v>
      </c>
      <c r="C427" s="5" t="s">
        <v>82</v>
      </c>
      <c r="D427" s="153">
        <v>91696</v>
      </c>
      <c r="E427" s="149"/>
      <c r="F427" s="149"/>
      <c r="G427" s="149"/>
      <c r="N427" s="149">
        <f t="shared" si="21"/>
        <v>0</v>
      </c>
    </row>
    <row r="428" spans="1:14" ht="26.25" x14ac:dyDescent="0.25">
      <c r="A428" s="4" t="s">
        <v>271</v>
      </c>
      <c r="B428" s="4" t="s">
        <v>283</v>
      </c>
      <c r="C428" s="5" t="s">
        <v>93</v>
      </c>
      <c r="D428" s="153">
        <v>1047</v>
      </c>
      <c r="E428" s="149"/>
      <c r="F428" s="149"/>
      <c r="G428" s="149"/>
      <c r="I428" s="149">
        <f>D428+F428+G428</f>
        <v>1047</v>
      </c>
      <c r="K428" s="149">
        <f>I428-D428</f>
        <v>0</v>
      </c>
      <c r="N428" s="149">
        <f t="shared" si="21"/>
        <v>0</v>
      </c>
    </row>
    <row r="429" spans="1:14" x14ac:dyDescent="0.25">
      <c r="A429" s="4" t="s">
        <v>271</v>
      </c>
      <c r="B429" s="4" t="s">
        <v>284</v>
      </c>
      <c r="C429" s="5" t="s">
        <v>86</v>
      </c>
      <c r="D429" s="153">
        <v>122513</v>
      </c>
      <c r="E429" s="149"/>
      <c r="F429" s="149">
        <v>2450</v>
      </c>
      <c r="G429" s="149">
        <v>2617</v>
      </c>
      <c r="N429" s="149">
        <f t="shared" si="21"/>
        <v>5067</v>
      </c>
    </row>
    <row r="430" spans="1:14" ht="26.25" x14ac:dyDescent="0.25">
      <c r="A430" s="4" t="s">
        <v>271</v>
      </c>
      <c r="B430" s="4" t="s">
        <v>285</v>
      </c>
      <c r="C430" s="5" t="s">
        <v>86</v>
      </c>
      <c r="D430" s="153">
        <v>13407</v>
      </c>
      <c r="E430" s="149"/>
      <c r="F430" s="149">
        <v>402</v>
      </c>
      <c r="G430" s="149"/>
      <c r="N430" s="149">
        <f t="shared" si="21"/>
        <v>402</v>
      </c>
    </row>
    <row r="431" spans="1:14" ht="26.25" x14ac:dyDescent="0.25">
      <c r="A431" s="4" t="s">
        <v>271</v>
      </c>
      <c r="B431" s="4" t="s">
        <v>286</v>
      </c>
      <c r="C431" s="5" t="s">
        <v>86</v>
      </c>
      <c r="D431" s="153">
        <v>337176</v>
      </c>
      <c r="E431" s="149"/>
      <c r="F431" s="149"/>
      <c r="G431" s="149"/>
      <c r="N431" s="149">
        <f t="shared" si="21"/>
        <v>0</v>
      </c>
    </row>
    <row r="432" spans="1:14" ht="26.25" x14ac:dyDescent="0.25">
      <c r="A432" s="4" t="s">
        <v>271</v>
      </c>
      <c r="B432" s="4" t="s">
        <v>287</v>
      </c>
      <c r="C432" s="5" t="s">
        <v>93</v>
      </c>
      <c r="D432" s="153">
        <v>9088</v>
      </c>
      <c r="E432" s="149"/>
      <c r="F432" s="149"/>
      <c r="G432" s="149"/>
      <c r="I432" s="149">
        <f>D432+F432+G432</f>
        <v>9088</v>
      </c>
      <c r="K432" s="149">
        <f>I432-D432</f>
        <v>0</v>
      </c>
      <c r="N432" s="149">
        <f t="shared" si="21"/>
        <v>0</v>
      </c>
    </row>
    <row r="433" spans="1:14" ht="26.25" x14ac:dyDescent="0.25">
      <c r="A433" s="4" t="s">
        <v>271</v>
      </c>
      <c r="B433" s="4" t="s">
        <v>288</v>
      </c>
      <c r="C433" s="5" t="s">
        <v>86</v>
      </c>
      <c r="D433" s="153">
        <v>283075</v>
      </c>
      <c r="E433" s="149"/>
      <c r="F433" s="149">
        <v>5662</v>
      </c>
      <c r="G433" s="149">
        <v>5897</v>
      </c>
      <c r="N433" s="149">
        <f t="shared" si="21"/>
        <v>11559</v>
      </c>
    </row>
    <row r="434" spans="1:14" ht="26.25" x14ac:dyDescent="0.25">
      <c r="A434" s="4" t="s">
        <v>271</v>
      </c>
      <c r="B434" s="4" t="s">
        <v>289</v>
      </c>
      <c r="C434" s="5" t="s">
        <v>86</v>
      </c>
      <c r="D434" s="153">
        <v>13170</v>
      </c>
      <c r="E434" s="149"/>
      <c r="F434" s="149">
        <v>395</v>
      </c>
      <c r="G434" s="149"/>
      <c r="N434" s="149">
        <f t="shared" si="21"/>
        <v>395</v>
      </c>
    </row>
    <row r="435" spans="1:14" ht="26.25" x14ac:dyDescent="0.25">
      <c r="A435" s="4" t="s">
        <v>271</v>
      </c>
      <c r="B435" s="4" t="s">
        <v>290</v>
      </c>
      <c r="C435" s="5" t="s">
        <v>86</v>
      </c>
      <c r="D435" s="153">
        <f>875752+20632+138+8408</f>
        <v>904930</v>
      </c>
      <c r="E435" s="149"/>
      <c r="F435" s="149"/>
      <c r="G435" s="149"/>
      <c r="N435" s="149">
        <f t="shared" si="21"/>
        <v>0</v>
      </c>
    </row>
    <row r="436" spans="1:14" ht="26.25" x14ac:dyDescent="0.25">
      <c r="A436" s="4" t="s">
        <v>271</v>
      </c>
      <c r="B436" s="4" t="s">
        <v>291</v>
      </c>
      <c r="C436" s="5" t="s">
        <v>93</v>
      </c>
      <c r="D436" s="153">
        <f>8847+223</f>
        <v>9070</v>
      </c>
      <c r="E436" s="149"/>
      <c r="F436" s="149"/>
      <c r="G436" s="149"/>
      <c r="I436" s="149">
        <f>D436+F436+G436</f>
        <v>9070</v>
      </c>
      <c r="K436" s="149">
        <f t="shared" ref="K436:K448" si="24">I436-D436</f>
        <v>0</v>
      </c>
      <c r="N436" s="149">
        <f t="shared" si="21"/>
        <v>0</v>
      </c>
    </row>
    <row r="437" spans="1:14" x14ac:dyDescent="0.25">
      <c r="A437" s="4" t="s">
        <v>271</v>
      </c>
      <c r="B437" s="4" t="s">
        <v>292</v>
      </c>
      <c r="C437" s="5" t="s">
        <v>93</v>
      </c>
      <c r="D437" s="153">
        <v>26666</v>
      </c>
      <c r="E437" s="149"/>
      <c r="F437" s="149">
        <v>533</v>
      </c>
      <c r="G437" s="149">
        <v>556</v>
      </c>
      <c r="I437" s="1">
        <f>D437+F437+G437</f>
        <v>27755</v>
      </c>
      <c r="K437" s="149">
        <f t="shared" si="24"/>
        <v>1089</v>
      </c>
      <c r="N437" s="149">
        <f t="shared" si="21"/>
        <v>1089</v>
      </c>
    </row>
    <row r="438" spans="1:14" x14ac:dyDescent="0.25">
      <c r="A438" s="4" t="s">
        <v>271</v>
      </c>
      <c r="B438" s="4" t="s">
        <v>293</v>
      </c>
      <c r="C438" s="5" t="s">
        <v>93</v>
      </c>
      <c r="D438" s="153">
        <v>39163</v>
      </c>
      <c r="E438" s="149"/>
      <c r="F438" s="149">
        <v>1175</v>
      </c>
      <c r="G438" s="149"/>
      <c r="I438" s="149">
        <f t="shared" ref="I438:I449" si="25">D438+F438+G438</f>
        <v>40338</v>
      </c>
      <c r="K438" s="149">
        <f t="shared" si="24"/>
        <v>1175</v>
      </c>
      <c r="N438" s="149">
        <f t="shared" si="21"/>
        <v>1175</v>
      </c>
    </row>
    <row r="439" spans="1:14" ht="26.25" x14ac:dyDescent="0.25">
      <c r="A439" s="4" t="s">
        <v>271</v>
      </c>
      <c r="B439" s="4" t="s">
        <v>294</v>
      </c>
      <c r="C439" s="5" t="s">
        <v>93</v>
      </c>
      <c r="D439" s="153">
        <f>50899+223</f>
        <v>51122</v>
      </c>
      <c r="E439" s="149"/>
      <c r="F439" s="149"/>
      <c r="G439" s="149"/>
      <c r="I439" s="149">
        <f t="shared" si="25"/>
        <v>51122</v>
      </c>
      <c r="K439" s="149">
        <f t="shared" si="24"/>
        <v>0</v>
      </c>
      <c r="N439" s="149">
        <f t="shared" si="21"/>
        <v>0</v>
      </c>
    </row>
    <row r="440" spans="1:14" x14ac:dyDescent="0.25">
      <c r="A440" s="4" t="s">
        <v>271</v>
      </c>
      <c r="B440" s="4" t="s">
        <v>295</v>
      </c>
      <c r="C440" s="5" t="s">
        <v>93</v>
      </c>
      <c r="D440" s="153"/>
      <c r="E440" s="149"/>
      <c r="F440" s="149"/>
      <c r="G440" s="149"/>
      <c r="I440" s="149">
        <f t="shared" si="25"/>
        <v>0</v>
      </c>
      <c r="K440" s="149">
        <f t="shared" si="24"/>
        <v>0</v>
      </c>
      <c r="N440" s="149">
        <f t="shared" si="21"/>
        <v>0</v>
      </c>
    </row>
    <row r="441" spans="1:14" ht="26.25" x14ac:dyDescent="0.25">
      <c r="A441" s="4" t="s">
        <v>271</v>
      </c>
      <c r="B441" s="4" t="s">
        <v>296</v>
      </c>
      <c r="C441" s="5" t="s">
        <v>93</v>
      </c>
      <c r="D441" s="153">
        <v>78652</v>
      </c>
      <c r="E441" s="149"/>
      <c r="F441" s="21">
        <v>2596</v>
      </c>
      <c r="G441" s="149"/>
      <c r="I441" s="149">
        <f t="shared" si="25"/>
        <v>81248</v>
      </c>
      <c r="K441" s="149">
        <f t="shared" si="24"/>
        <v>2596</v>
      </c>
      <c r="N441" s="149">
        <f t="shared" si="21"/>
        <v>2596</v>
      </c>
    </row>
    <row r="442" spans="1:14" ht="26.25" x14ac:dyDescent="0.25">
      <c r="A442" s="4" t="s">
        <v>271</v>
      </c>
      <c r="B442" s="4" t="s">
        <v>297</v>
      </c>
      <c r="C442" s="5" t="s">
        <v>93</v>
      </c>
      <c r="D442" s="82"/>
      <c r="E442" s="149"/>
      <c r="F442" s="149"/>
      <c r="G442" s="149"/>
      <c r="I442" s="149">
        <f t="shared" si="25"/>
        <v>0</v>
      </c>
      <c r="K442" s="149">
        <f t="shared" si="24"/>
        <v>0</v>
      </c>
      <c r="N442" s="149">
        <f t="shared" si="21"/>
        <v>0</v>
      </c>
    </row>
    <row r="443" spans="1:14" x14ac:dyDescent="0.25">
      <c r="A443" s="4" t="s">
        <v>271</v>
      </c>
      <c r="B443" s="4" t="s">
        <v>298</v>
      </c>
      <c r="C443" s="5" t="s">
        <v>93</v>
      </c>
      <c r="D443" s="153">
        <v>118231</v>
      </c>
      <c r="E443" s="149"/>
      <c r="F443" s="149">
        <v>2365</v>
      </c>
      <c r="G443" s="149">
        <v>2463</v>
      </c>
      <c r="I443" s="149">
        <f t="shared" si="25"/>
        <v>123059</v>
      </c>
      <c r="K443" s="149">
        <f t="shared" si="24"/>
        <v>4828</v>
      </c>
      <c r="N443" s="149">
        <f t="shared" si="21"/>
        <v>4828</v>
      </c>
    </row>
    <row r="444" spans="1:14" ht="26.25" x14ac:dyDescent="0.25">
      <c r="A444" s="4" t="s">
        <v>271</v>
      </c>
      <c r="B444" s="4" t="s">
        <v>299</v>
      </c>
      <c r="C444" s="5" t="s">
        <v>93</v>
      </c>
      <c r="D444" s="153">
        <v>61503</v>
      </c>
      <c r="E444" s="149"/>
      <c r="F444" s="149">
        <v>1230</v>
      </c>
      <c r="G444" s="149">
        <v>1281</v>
      </c>
      <c r="I444" s="149">
        <f t="shared" si="25"/>
        <v>64014</v>
      </c>
      <c r="K444" s="149">
        <f t="shared" si="24"/>
        <v>2511</v>
      </c>
      <c r="N444" s="149">
        <f t="shared" si="21"/>
        <v>2511</v>
      </c>
    </row>
    <row r="445" spans="1:14" ht="26.25" x14ac:dyDescent="0.25">
      <c r="A445" s="4" t="s">
        <v>271</v>
      </c>
      <c r="B445" s="4" t="s">
        <v>300</v>
      </c>
      <c r="C445" s="5" t="s">
        <v>93</v>
      </c>
      <c r="D445" s="153">
        <v>59877</v>
      </c>
      <c r="E445" s="149"/>
      <c r="F445" s="21">
        <v>1364</v>
      </c>
      <c r="G445" s="149"/>
      <c r="I445" s="149">
        <f t="shared" si="25"/>
        <v>61241</v>
      </c>
      <c r="K445" s="149">
        <f t="shared" si="24"/>
        <v>1364</v>
      </c>
      <c r="N445" s="149">
        <f t="shared" si="21"/>
        <v>1364</v>
      </c>
    </row>
    <row r="446" spans="1:14" ht="39" x14ac:dyDescent="0.25">
      <c r="A446" s="4" t="s">
        <v>271</v>
      </c>
      <c r="B446" s="4" t="s">
        <v>301</v>
      </c>
      <c r="C446" s="5" t="s">
        <v>93</v>
      </c>
      <c r="D446" s="153">
        <v>354084</v>
      </c>
      <c r="E446" s="149"/>
      <c r="F446" s="149"/>
      <c r="G446" s="149"/>
      <c r="I446" s="149">
        <f t="shared" si="25"/>
        <v>354084</v>
      </c>
      <c r="K446" s="149">
        <f t="shared" si="24"/>
        <v>0</v>
      </c>
      <c r="N446" s="149">
        <f t="shared" si="21"/>
        <v>0</v>
      </c>
    </row>
    <row r="447" spans="1:14" x14ac:dyDescent="0.25">
      <c r="A447" s="4" t="s">
        <v>271</v>
      </c>
      <c r="B447" s="4" t="s">
        <v>302</v>
      </c>
      <c r="C447" s="5" t="s">
        <v>93</v>
      </c>
      <c r="D447" s="153">
        <v>11850</v>
      </c>
      <c r="E447" s="149"/>
      <c r="F447" s="149">
        <v>237</v>
      </c>
      <c r="G447" s="149">
        <v>247</v>
      </c>
      <c r="I447" s="149">
        <f t="shared" si="25"/>
        <v>12334</v>
      </c>
      <c r="K447" s="149">
        <f t="shared" si="24"/>
        <v>484</v>
      </c>
      <c r="N447" s="149">
        <f t="shared" si="21"/>
        <v>484</v>
      </c>
    </row>
    <row r="448" spans="1:14" ht="26.25" x14ac:dyDescent="0.25">
      <c r="A448" s="4" t="s">
        <v>271</v>
      </c>
      <c r="B448" s="4" t="s">
        <v>303</v>
      </c>
      <c r="C448" s="5" t="s">
        <v>93</v>
      </c>
      <c r="D448" s="153">
        <v>27694</v>
      </c>
      <c r="E448" s="149"/>
      <c r="F448" s="149">
        <v>793</v>
      </c>
      <c r="G448" s="149"/>
      <c r="I448" s="149">
        <f t="shared" si="25"/>
        <v>28487</v>
      </c>
      <c r="K448" s="149">
        <f t="shared" si="24"/>
        <v>793</v>
      </c>
      <c r="N448" s="149">
        <f t="shared" si="21"/>
        <v>793</v>
      </c>
    </row>
    <row r="449" spans="1:14" ht="26.25" x14ac:dyDescent="0.25">
      <c r="A449" s="4" t="s">
        <v>271</v>
      </c>
      <c r="B449" s="4" t="s">
        <v>304</v>
      </c>
      <c r="C449" s="5" t="s">
        <v>93</v>
      </c>
      <c r="D449" s="153">
        <v>56766</v>
      </c>
      <c r="E449" s="149"/>
      <c r="F449" s="149"/>
      <c r="G449" s="149"/>
      <c r="I449" s="149">
        <f t="shared" si="25"/>
        <v>56766</v>
      </c>
      <c r="K449" s="1">
        <f>I449-D449</f>
        <v>0</v>
      </c>
      <c r="N449" s="149">
        <f t="shared" si="21"/>
        <v>0</v>
      </c>
    </row>
    <row r="450" spans="1:14" x14ac:dyDescent="0.25">
      <c r="A450" s="4" t="s">
        <v>271</v>
      </c>
      <c r="B450" s="4" t="s">
        <v>77</v>
      </c>
      <c r="C450" s="5" t="s">
        <v>73</v>
      </c>
      <c r="D450" s="153">
        <v>154225</v>
      </c>
      <c r="E450" s="149"/>
      <c r="F450" s="149">
        <v>3085</v>
      </c>
      <c r="G450" s="149">
        <v>3213</v>
      </c>
      <c r="N450" s="149">
        <f t="shared" si="21"/>
        <v>6298</v>
      </c>
    </row>
    <row r="451" spans="1:14" ht="26.25" x14ac:dyDescent="0.25">
      <c r="A451" s="4" t="s">
        <v>271</v>
      </c>
      <c r="B451" s="4" t="s">
        <v>305</v>
      </c>
      <c r="C451" s="5" t="s">
        <v>73</v>
      </c>
      <c r="D451" s="153">
        <v>61266</v>
      </c>
      <c r="E451" s="149"/>
      <c r="F451" s="149">
        <v>1225</v>
      </c>
      <c r="G451" s="149">
        <v>1276</v>
      </c>
      <c r="N451" s="149">
        <f t="shared" si="21"/>
        <v>2501</v>
      </c>
    </row>
    <row r="452" spans="1:14" ht="26.25" x14ac:dyDescent="0.25">
      <c r="A452" s="4" t="s">
        <v>271</v>
      </c>
      <c r="B452" s="4" t="s">
        <v>306</v>
      </c>
      <c r="C452" s="6" t="s">
        <v>73</v>
      </c>
      <c r="D452" s="82"/>
      <c r="E452" s="149"/>
      <c r="F452" s="149"/>
      <c r="G452" s="149"/>
      <c r="N452" s="149">
        <f t="shared" si="21"/>
        <v>0</v>
      </c>
    </row>
    <row r="453" spans="1:14" x14ac:dyDescent="0.25">
      <c r="A453" s="4" t="s">
        <v>271</v>
      </c>
      <c r="B453" s="4" t="s">
        <v>307</v>
      </c>
      <c r="C453" s="6" t="s">
        <v>73</v>
      </c>
      <c r="D453" s="153">
        <v>11954</v>
      </c>
      <c r="E453" s="149"/>
      <c r="F453" s="149">
        <v>239</v>
      </c>
      <c r="G453" s="149">
        <v>249</v>
      </c>
      <c r="N453" s="149">
        <f t="shared" si="21"/>
        <v>488</v>
      </c>
    </row>
    <row r="454" spans="1:14" x14ac:dyDescent="0.25">
      <c r="A454" s="4" t="s">
        <v>271</v>
      </c>
      <c r="B454" s="4" t="s">
        <v>126</v>
      </c>
      <c r="C454" s="5" t="s">
        <v>73</v>
      </c>
      <c r="D454" s="153">
        <v>129176</v>
      </c>
      <c r="E454" s="149"/>
      <c r="F454" s="149">
        <v>2584</v>
      </c>
      <c r="G454" s="149">
        <v>2691</v>
      </c>
      <c r="N454" s="149">
        <f t="shared" si="21"/>
        <v>5275</v>
      </c>
    </row>
    <row r="455" spans="1:14" x14ac:dyDescent="0.25">
      <c r="A455" s="4" t="s">
        <v>271</v>
      </c>
      <c r="B455" s="4" t="s">
        <v>308</v>
      </c>
      <c r="C455" s="5" t="s">
        <v>73</v>
      </c>
      <c r="D455" s="153">
        <v>200527</v>
      </c>
      <c r="E455" s="149"/>
      <c r="F455" s="149">
        <v>4011</v>
      </c>
      <c r="G455" s="149">
        <v>4178</v>
      </c>
      <c r="N455" s="149">
        <f t="shared" si="21"/>
        <v>8189</v>
      </c>
    </row>
    <row r="456" spans="1:14" ht="26.25" x14ac:dyDescent="0.25">
      <c r="A456" s="4" t="s">
        <v>271</v>
      </c>
      <c r="B456" s="4" t="s">
        <v>310</v>
      </c>
      <c r="C456" s="5" t="s">
        <v>311</v>
      </c>
      <c r="D456" s="153"/>
      <c r="E456" s="149"/>
      <c r="F456" s="149"/>
      <c r="G456" s="149"/>
      <c r="N456" s="149">
        <f t="shared" si="21"/>
        <v>0</v>
      </c>
    </row>
    <row r="457" spans="1:14" x14ac:dyDescent="0.25">
      <c r="A457" s="4" t="s">
        <v>271</v>
      </c>
      <c r="B457" s="4" t="s">
        <v>312</v>
      </c>
      <c r="C457" s="5" t="s">
        <v>311</v>
      </c>
      <c r="D457" s="153"/>
      <c r="E457" s="149"/>
      <c r="F457" s="149"/>
      <c r="G457" s="149"/>
      <c r="N457" s="149">
        <f t="shared" ref="N457:N520" si="26">G457+F457</f>
        <v>0</v>
      </c>
    </row>
    <row r="458" spans="1:14" x14ac:dyDescent="0.25">
      <c r="A458" s="4" t="s">
        <v>271</v>
      </c>
      <c r="B458" s="4" t="s">
        <v>313</v>
      </c>
      <c r="C458" s="5" t="s">
        <v>165</v>
      </c>
      <c r="D458" s="153"/>
      <c r="E458" s="149"/>
      <c r="F458" s="149"/>
      <c r="G458" s="149"/>
      <c r="N458" s="149">
        <f t="shared" si="26"/>
        <v>0</v>
      </c>
    </row>
    <row r="459" spans="1:14" ht="26.25" x14ac:dyDescent="0.25">
      <c r="A459" s="4" t="s">
        <v>271</v>
      </c>
      <c r="B459" s="4" t="s">
        <v>315</v>
      </c>
      <c r="C459" s="5" t="s">
        <v>165</v>
      </c>
      <c r="D459" s="153"/>
      <c r="E459" s="149"/>
      <c r="F459" s="149"/>
      <c r="G459" s="149"/>
      <c r="N459" s="149">
        <f t="shared" si="26"/>
        <v>0</v>
      </c>
    </row>
    <row r="460" spans="1:14" ht="26.25" x14ac:dyDescent="0.25">
      <c r="A460" s="4" t="s">
        <v>271</v>
      </c>
      <c r="B460" s="4" t="s">
        <v>316</v>
      </c>
      <c r="C460" s="5" t="s">
        <v>60</v>
      </c>
      <c r="D460" s="153"/>
      <c r="E460" s="149"/>
      <c r="F460" s="149"/>
      <c r="G460" s="149"/>
      <c r="N460" s="149">
        <f t="shared" si="26"/>
        <v>0</v>
      </c>
    </row>
    <row r="461" spans="1:14" ht="26.25" x14ac:dyDescent="0.25">
      <c r="A461" s="4" t="s">
        <v>271</v>
      </c>
      <c r="B461" s="4" t="s">
        <v>317</v>
      </c>
      <c r="C461" s="5" t="s">
        <v>165</v>
      </c>
      <c r="D461" s="153"/>
      <c r="E461" s="149"/>
      <c r="F461" s="149"/>
      <c r="G461" s="149"/>
      <c r="N461" s="149">
        <f t="shared" si="26"/>
        <v>0</v>
      </c>
    </row>
    <row r="462" spans="1:14" ht="26.25" x14ac:dyDescent="0.25">
      <c r="A462" s="4" t="s">
        <v>271</v>
      </c>
      <c r="B462" s="4" t="s">
        <v>65</v>
      </c>
      <c r="C462" s="5" t="s">
        <v>60</v>
      </c>
      <c r="D462" s="153">
        <v>519241</v>
      </c>
      <c r="E462" s="149"/>
      <c r="F462" s="149">
        <v>10385</v>
      </c>
      <c r="G462" s="149">
        <v>10818</v>
      </c>
      <c r="N462" s="149">
        <f t="shared" si="26"/>
        <v>21203</v>
      </c>
    </row>
    <row r="463" spans="1:14" ht="26.25" x14ac:dyDescent="0.25">
      <c r="A463" s="4" t="s">
        <v>271</v>
      </c>
      <c r="B463" s="4" t="s">
        <v>318</v>
      </c>
      <c r="C463" s="5" t="s">
        <v>60</v>
      </c>
      <c r="D463" s="153"/>
      <c r="E463" s="149"/>
      <c r="F463" s="149"/>
      <c r="G463" s="149"/>
      <c r="N463" s="149">
        <f t="shared" si="26"/>
        <v>0</v>
      </c>
    </row>
    <row r="464" spans="1:14" ht="39" x14ac:dyDescent="0.25">
      <c r="A464" s="4" t="s">
        <v>271</v>
      </c>
      <c r="B464" s="4" t="s">
        <v>320</v>
      </c>
      <c r="C464" s="5" t="s">
        <v>60</v>
      </c>
      <c r="D464" s="153"/>
      <c r="E464" s="149"/>
      <c r="F464" s="149"/>
      <c r="G464" s="149"/>
      <c r="N464" s="149">
        <f t="shared" si="26"/>
        <v>0</v>
      </c>
    </row>
    <row r="465" spans="1:14" ht="26.25" x14ac:dyDescent="0.25">
      <c r="A465" s="4" t="s">
        <v>271</v>
      </c>
      <c r="B465" s="4" t="s">
        <v>62</v>
      </c>
      <c r="C465" s="5" t="s">
        <v>60</v>
      </c>
      <c r="D465" s="153"/>
      <c r="E465" s="149"/>
      <c r="F465" s="149"/>
      <c r="G465" s="149"/>
      <c r="N465" s="149">
        <f t="shared" si="26"/>
        <v>0</v>
      </c>
    </row>
    <row r="466" spans="1:14" x14ac:dyDescent="0.25">
      <c r="A466" s="4" t="s">
        <v>271</v>
      </c>
      <c r="B466" s="4" t="s">
        <v>64</v>
      </c>
      <c r="C466" s="5" t="s">
        <v>60</v>
      </c>
      <c r="D466" s="153">
        <v>45278</v>
      </c>
      <c r="E466" s="149"/>
      <c r="F466" s="149">
        <v>906</v>
      </c>
      <c r="G466" s="149">
        <v>943</v>
      </c>
      <c r="N466" s="149">
        <f t="shared" si="26"/>
        <v>1849</v>
      </c>
    </row>
    <row r="467" spans="1:14" x14ac:dyDescent="0.25">
      <c r="A467" s="4" t="s">
        <v>271</v>
      </c>
      <c r="B467" s="4" t="s">
        <v>321</v>
      </c>
      <c r="C467" s="5" t="s">
        <v>60</v>
      </c>
      <c r="D467" s="153"/>
      <c r="E467" s="149"/>
      <c r="F467" s="149"/>
      <c r="G467" s="149"/>
      <c r="N467" s="149">
        <f t="shared" si="26"/>
        <v>0</v>
      </c>
    </row>
    <row r="468" spans="1:14" ht="26.25" x14ac:dyDescent="0.25">
      <c r="A468" s="4" t="s">
        <v>271</v>
      </c>
      <c r="B468" s="4" t="s">
        <v>322</v>
      </c>
      <c r="C468" s="5" t="s">
        <v>70</v>
      </c>
      <c r="D468" s="82"/>
      <c r="E468" s="149"/>
      <c r="F468" s="149"/>
      <c r="G468" s="149"/>
      <c r="N468" s="149">
        <f t="shared" si="26"/>
        <v>0</v>
      </c>
    </row>
    <row r="469" spans="1:14" ht="26.25" x14ac:dyDescent="0.25">
      <c r="A469" s="4" t="s">
        <v>271</v>
      </c>
      <c r="B469" s="4" t="s">
        <v>323</v>
      </c>
      <c r="C469" s="5" t="s">
        <v>70</v>
      </c>
      <c r="D469" s="153"/>
      <c r="E469" s="149"/>
      <c r="F469" s="149"/>
      <c r="G469" s="149"/>
      <c r="N469" s="149">
        <f t="shared" si="26"/>
        <v>0</v>
      </c>
    </row>
    <row r="470" spans="1:14" x14ac:dyDescent="0.25">
      <c r="A470" s="4" t="s">
        <v>271</v>
      </c>
      <c r="B470" s="4" t="s">
        <v>324</v>
      </c>
      <c r="C470" s="5" t="s">
        <v>73</v>
      </c>
      <c r="D470" s="82"/>
      <c r="E470" s="149"/>
      <c r="F470" s="149"/>
      <c r="G470" s="149"/>
      <c r="N470" s="149">
        <f t="shared" si="26"/>
        <v>0</v>
      </c>
    </row>
    <row r="471" spans="1:14" x14ac:dyDescent="0.25">
      <c r="A471" s="4" t="s">
        <v>271</v>
      </c>
      <c r="B471" s="4" t="s">
        <v>97</v>
      </c>
      <c r="C471" s="5" t="s">
        <v>96</v>
      </c>
      <c r="D471" s="153"/>
      <c r="E471" s="149"/>
      <c r="F471" s="149"/>
      <c r="G471" s="149"/>
      <c r="N471" s="149">
        <f t="shared" si="26"/>
        <v>0</v>
      </c>
    </row>
    <row r="472" spans="1:14" x14ac:dyDescent="0.25">
      <c r="A472" s="4" t="s">
        <v>271</v>
      </c>
      <c r="B472" s="4" t="s">
        <v>325</v>
      </c>
      <c r="C472" s="5" t="s">
        <v>96</v>
      </c>
      <c r="D472" s="153">
        <v>112892</v>
      </c>
      <c r="E472" s="149"/>
      <c r="F472" s="149">
        <v>2258</v>
      </c>
      <c r="G472" s="149">
        <v>2352</v>
      </c>
      <c r="N472" s="149">
        <f t="shared" si="26"/>
        <v>4610</v>
      </c>
    </row>
    <row r="473" spans="1:14" ht="39" x14ac:dyDescent="0.25">
      <c r="A473" s="4" t="s">
        <v>271</v>
      </c>
      <c r="B473" s="4" t="s">
        <v>326</v>
      </c>
      <c r="C473" s="5" t="s">
        <v>96</v>
      </c>
      <c r="D473" s="153"/>
      <c r="E473" s="149"/>
      <c r="F473" s="149"/>
      <c r="G473" s="149"/>
      <c r="N473" s="149">
        <f t="shared" si="26"/>
        <v>0</v>
      </c>
    </row>
    <row r="474" spans="1:14" ht="26.25" x14ac:dyDescent="0.25">
      <c r="A474" s="4" t="s">
        <v>271</v>
      </c>
      <c r="B474" s="4" t="s">
        <v>327</v>
      </c>
      <c r="C474" s="5" t="s">
        <v>96</v>
      </c>
      <c r="D474" s="153"/>
      <c r="E474" s="149"/>
      <c r="F474" s="149"/>
      <c r="G474" s="149"/>
      <c r="N474" s="149">
        <f t="shared" si="26"/>
        <v>0</v>
      </c>
    </row>
    <row r="475" spans="1:14" ht="26.25" x14ac:dyDescent="0.25">
      <c r="A475" s="4" t="s">
        <v>271</v>
      </c>
      <c r="B475" s="4" t="s">
        <v>328</v>
      </c>
      <c r="C475" s="5" t="s">
        <v>96</v>
      </c>
      <c r="D475" s="153"/>
      <c r="E475" s="149"/>
      <c r="F475" s="149"/>
      <c r="G475" s="149"/>
      <c r="N475" s="149">
        <f t="shared" si="26"/>
        <v>0</v>
      </c>
    </row>
    <row r="476" spans="1:14" ht="30.75" customHeight="1" x14ac:dyDescent="0.25">
      <c r="A476" s="4" t="s">
        <v>271</v>
      </c>
      <c r="B476" s="4" t="s">
        <v>329</v>
      </c>
      <c r="C476" s="5" t="s">
        <v>96</v>
      </c>
      <c r="D476" s="153"/>
      <c r="E476" s="149"/>
      <c r="F476" s="149"/>
      <c r="G476" s="149"/>
      <c r="N476" s="149">
        <f t="shared" si="26"/>
        <v>0</v>
      </c>
    </row>
    <row r="477" spans="1:14" ht="26.25" x14ac:dyDescent="0.25">
      <c r="A477" s="4" t="s">
        <v>271</v>
      </c>
      <c r="B477" s="4" t="s">
        <v>330</v>
      </c>
      <c r="C477" s="5" t="s">
        <v>96</v>
      </c>
      <c r="D477" s="153"/>
      <c r="E477" s="149"/>
      <c r="F477" s="149"/>
      <c r="G477" s="149"/>
      <c r="N477" s="149">
        <f t="shared" si="26"/>
        <v>0</v>
      </c>
    </row>
    <row r="478" spans="1:14" x14ac:dyDescent="0.25">
      <c r="A478" s="4" t="s">
        <v>271</v>
      </c>
      <c r="B478" s="4" t="s">
        <v>105</v>
      </c>
      <c r="C478" s="5"/>
      <c r="D478" s="153">
        <v>64376</v>
      </c>
      <c r="E478" s="149"/>
      <c r="F478" s="149"/>
      <c r="G478" s="149"/>
      <c r="N478" s="149">
        <f t="shared" si="26"/>
        <v>0</v>
      </c>
    </row>
    <row r="479" spans="1:14" x14ac:dyDescent="0.25">
      <c r="A479" s="4" t="s">
        <v>271</v>
      </c>
      <c r="B479" s="4" t="s">
        <v>106</v>
      </c>
      <c r="C479" s="5"/>
      <c r="D479" s="153">
        <v>47265</v>
      </c>
      <c r="E479" s="149"/>
      <c r="F479" s="149"/>
      <c r="G479" s="149"/>
      <c r="N479" s="149">
        <f t="shared" si="26"/>
        <v>0</v>
      </c>
    </row>
    <row r="480" spans="1:14" x14ac:dyDescent="0.25">
      <c r="A480" s="16" t="s">
        <v>331</v>
      </c>
      <c r="B480" s="16" t="s">
        <v>108</v>
      </c>
      <c r="C480" s="17"/>
      <c r="D480" s="18">
        <f>SUM(D417:D479)</f>
        <v>4957366</v>
      </c>
      <c r="E480" s="149"/>
      <c r="F480" s="36">
        <f t="shared" ref="F480:G480" si="27">SUM(F417:F479)</f>
        <v>64743</v>
      </c>
      <c r="G480" s="36">
        <f t="shared" si="27"/>
        <v>47652</v>
      </c>
      <c r="N480" s="149">
        <f t="shared" si="26"/>
        <v>112395</v>
      </c>
    </row>
    <row r="481" spans="1:14" x14ac:dyDescent="0.25">
      <c r="A481" s="4" t="s">
        <v>332</v>
      </c>
      <c r="B481" s="4" t="s">
        <v>333</v>
      </c>
      <c r="C481" s="5" t="s">
        <v>57</v>
      </c>
      <c r="D481" s="153">
        <v>1220886</v>
      </c>
      <c r="E481" s="149"/>
      <c r="F481" s="149">
        <v>24418</v>
      </c>
      <c r="G481" s="149">
        <v>25435</v>
      </c>
      <c r="N481" s="149">
        <f t="shared" si="26"/>
        <v>49853</v>
      </c>
    </row>
    <row r="482" spans="1:14" x14ac:dyDescent="0.25">
      <c r="A482" s="4" t="s">
        <v>332</v>
      </c>
      <c r="B482" s="4" t="s">
        <v>334</v>
      </c>
      <c r="C482" s="5" t="s">
        <v>57</v>
      </c>
      <c r="D482" s="82">
        <v>80309</v>
      </c>
      <c r="E482" s="149"/>
      <c r="F482" s="149">
        <v>1606</v>
      </c>
      <c r="G482" s="149">
        <v>1673</v>
      </c>
      <c r="N482" s="149">
        <f t="shared" si="26"/>
        <v>3279</v>
      </c>
    </row>
    <row r="483" spans="1:14" x14ac:dyDescent="0.25">
      <c r="A483" s="4" t="s">
        <v>332</v>
      </c>
      <c r="B483" s="4" t="s">
        <v>335</v>
      </c>
      <c r="C483" s="5" t="s">
        <v>57</v>
      </c>
      <c r="D483" s="153"/>
      <c r="E483" s="149"/>
      <c r="F483" s="149"/>
      <c r="G483" s="149"/>
      <c r="N483" s="149">
        <f t="shared" si="26"/>
        <v>0</v>
      </c>
    </row>
    <row r="484" spans="1:14" ht="26.25" x14ac:dyDescent="0.25">
      <c r="A484" s="4" t="s">
        <v>332</v>
      </c>
      <c r="B484" s="4" t="s">
        <v>336</v>
      </c>
      <c r="C484" s="5" t="s">
        <v>57</v>
      </c>
      <c r="D484" s="82"/>
      <c r="E484" s="149"/>
      <c r="F484" s="149"/>
      <c r="G484" s="149"/>
      <c r="N484" s="149">
        <f t="shared" si="26"/>
        <v>0</v>
      </c>
    </row>
    <row r="485" spans="1:14" x14ac:dyDescent="0.25">
      <c r="A485" s="4" t="s">
        <v>332</v>
      </c>
      <c r="B485" s="4" t="s">
        <v>337</v>
      </c>
      <c r="C485" s="5" t="s">
        <v>57</v>
      </c>
      <c r="D485" s="82"/>
      <c r="E485" s="149"/>
      <c r="F485" s="149"/>
      <c r="G485" s="149"/>
      <c r="N485" s="149">
        <f t="shared" si="26"/>
        <v>0</v>
      </c>
    </row>
    <row r="486" spans="1:14" x14ac:dyDescent="0.25">
      <c r="A486" s="4" t="s">
        <v>332</v>
      </c>
      <c r="B486" s="4" t="s">
        <v>338</v>
      </c>
      <c r="C486" s="5" t="s">
        <v>57</v>
      </c>
      <c r="D486" s="153"/>
      <c r="E486" s="149"/>
      <c r="F486" s="149"/>
      <c r="G486" s="149"/>
      <c r="N486" s="149">
        <f t="shared" si="26"/>
        <v>0</v>
      </c>
    </row>
    <row r="487" spans="1:14" ht="26.25" x14ac:dyDescent="0.25">
      <c r="A487" s="4" t="s">
        <v>332</v>
      </c>
      <c r="B487" s="4" t="s">
        <v>339</v>
      </c>
      <c r="C487" s="5" t="s">
        <v>57</v>
      </c>
      <c r="D487" s="153"/>
      <c r="E487" s="149"/>
      <c r="F487" s="149"/>
      <c r="G487" s="149"/>
      <c r="N487" s="149">
        <f t="shared" si="26"/>
        <v>0</v>
      </c>
    </row>
    <row r="488" spans="1:14" x14ac:dyDescent="0.25">
      <c r="A488" s="4" t="s">
        <v>332</v>
      </c>
      <c r="B488" s="4" t="s">
        <v>341</v>
      </c>
      <c r="C488" s="5" t="s">
        <v>57</v>
      </c>
      <c r="D488" s="153"/>
      <c r="E488" s="149"/>
      <c r="F488" s="149"/>
      <c r="G488" s="149"/>
      <c r="N488" s="149">
        <f t="shared" si="26"/>
        <v>0</v>
      </c>
    </row>
    <row r="489" spans="1:14" ht="26.25" x14ac:dyDescent="0.25">
      <c r="A489" s="4" t="s">
        <v>332</v>
      </c>
      <c r="B489" s="4" t="s">
        <v>344</v>
      </c>
      <c r="C489" s="5" t="s">
        <v>60</v>
      </c>
      <c r="D489" s="153"/>
      <c r="E489" s="149"/>
      <c r="F489" s="149"/>
      <c r="G489" s="149"/>
      <c r="N489" s="149">
        <f t="shared" si="26"/>
        <v>0</v>
      </c>
    </row>
    <row r="490" spans="1:14" x14ac:dyDescent="0.25">
      <c r="A490" s="4" t="s">
        <v>332</v>
      </c>
      <c r="B490" s="4" t="s">
        <v>98</v>
      </c>
      <c r="C490" s="5" t="s">
        <v>99</v>
      </c>
      <c r="D490" s="153">
        <v>177599</v>
      </c>
      <c r="E490" s="149"/>
      <c r="F490" s="149">
        <v>3552</v>
      </c>
      <c r="G490" s="149">
        <v>3700</v>
      </c>
      <c r="N490" s="149">
        <f t="shared" si="26"/>
        <v>7252</v>
      </c>
    </row>
    <row r="491" spans="1:14" ht="26.25" x14ac:dyDescent="0.25">
      <c r="A491" s="4" t="s">
        <v>332</v>
      </c>
      <c r="B491" s="4" t="s">
        <v>621</v>
      </c>
      <c r="C491" s="5" t="s">
        <v>99</v>
      </c>
      <c r="D491" s="153"/>
      <c r="E491" s="149"/>
      <c r="F491" s="149"/>
      <c r="G491" s="149"/>
      <c r="N491" s="149">
        <f t="shared" si="26"/>
        <v>0</v>
      </c>
    </row>
    <row r="492" spans="1:14" x14ac:dyDescent="0.25">
      <c r="A492" s="4" t="s">
        <v>332</v>
      </c>
      <c r="B492" s="4" t="s">
        <v>345</v>
      </c>
      <c r="C492" s="5" t="s">
        <v>525</v>
      </c>
      <c r="D492" s="153"/>
      <c r="E492" s="149"/>
      <c r="F492" s="149"/>
      <c r="G492" s="149"/>
      <c r="N492" s="149">
        <f t="shared" si="26"/>
        <v>0</v>
      </c>
    </row>
    <row r="493" spans="1:14" x14ac:dyDescent="0.25">
      <c r="A493" s="4" t="s">
        <v>332</v>
      </c>
      <c r="B493" s="4" t="s">
        <v>346</v>
      </c>
      <c r="C493" s="5" t="s">
        <v>165</v>
      </c>
      <c r="D493" s="153"/>
      <c r="E493" s="149"/>
      <c r="F493" s="149"/>
      <c r="G493" s="149"/>
      <c r="N493" s="149">
        <f t="shared" si="26"/>
        <v>0</v>
      </c>
    </row>
    <row r="494" spans="1:14" ht="41.25" customHeight="1" x14ac:dyDescent="0.25">
      <c r="A494" s="4" t="s">
        <v>332</v>
      </c>
      <c r="B494" s="4" t="s">
        <v>347</v>
      </c>
      <c r="C494" s="5" t="s">
        <v>220</v>
      </c>
      <c r="D494" s="153"/>
      <c r="E494" s="149"/>
      <c r="F494" s="149"/>
      <c r="G494" s="149"/>
      <c r="N494" s="149">
        <f t="shared" si="26"/>
        <v>0</v>
      </c>
    </row>
    <row r="495" spans="1:14" x14ac:dyDescent="0.25">
      <c r="A495" s="4" t="s">
        <v>332</v>
      </c>
      <c r="B495" s="4" t="s">
        <v>348</v>
      </c>
      <c r="C495" s="5" t="s">
        <v>70</v>
      </c>
      <c r="D495" s="82"/>
      <c r="E495" s="149"/>
      <c r="F495" s="149"/>
      <c r="G495" s="149"/>
      <c r="N495" s="149">
        <f t="shared" si="26"/>
        <v>0</v>
      </c>
    </row>
    <row r="496" spans="1:14" x14ac:dyDescent="0.25">
      <c r="A496" s="4" t="s">
        <v>332</v>
      </c>
      <c r="B496" s="104" t="s">
        <v>349</v>
      </c>
      <c r="C496" s="5" t="s">
        <v>73</v>
      </c>
      <c r="D496" s="82"/>
      <c r="E496" s="149"/>
      <c r="F496" s="149"/>
      <c r="G496" s="149"/>
      <c r="N496" s="149">
        <f t="shared" si="26"/>
        <v>0</v>
      </c>
    </row>
    <row r="497" spans="1:14" x14ac:dyDescent="0.25">
      <c r="A497" s="4" t="s">
        <v>332</v>
      </c>
      <c r="B497" s="44" t="s">
        <v>351</v>
      </c>
      <c r="C497" s="5" t="s">
        <v>79</v>
      </c>
      <c r="D497" s="153"/>
      <c r="N497" s="149">
        <f t="shared" si="26"/>
        <v>0</v>
      </c>
    </row>
    <row r="498" spans="1:14" x14ac:dyDescent="0.25">
      <c r="A498" s="4" t="s">
        <v>332</v>
      </c>
      <c r="B498" s="44" t="s">
        <v>352</v>
      </c>
      <c r="C498" s="5" t="s">
        <v>70</v>
      </c>
      <c r="D498" s="153"/>
      <c r="N498" s="149">
        <f t="shared" si="26"/>
        <v>0</v>
      </c>
    </row>
    <row r="499" spans="1:14" ht="26.25" x14ac:dyDescent="0.25">
      <c r="A499" s="4" t="s">
        <v>332</v>
      </c>
      <c r="B499" s="44" t="s">
        <v>353</v>
      </c>
      <c r="C499" s="5" t="s">
        <v>70</v>
      </c>
      <c r="D499" s="153"/>
      <c r="N499" s="149">
        <f t="shared" si="26"/>
        <v>0</v>
      </c>
    </row>
    <row r="500" spans="1:14" ht="39" x14ac:dyDescent="0.25">
      <c r="A500" s="4" t="s">
        <v>332</v>
      </c>
      <c r="B500" s="4" t="s">
        <v>354</v>
      </c>
      <c r="C500" s="5" t="s">
        <v>311</v>
      </c>
      <c r="D500" s="153"/>
      <c r="N500" s="149">
        <f t="shared" si="26"/>
        <v>0</v>
      </c>
    </row>
    <row r="501" spans="1:14" ht="26.25" x14ac:dyDescent="0.25">
      <c r="A501" s="4" t="s">
        <v>332</v>
      </c>
      <c r="B501" s="4" t="s">
        <v>355</v>
      </c>
      <c r="C501" s="5" t="s">
        <v>311</v>
      </c>
      <c r="D501" s="153"/>
      <c r="N501" s="149">
        <f t="shared" si="26"/>
        <v>0</v>
      </c>
    </row>
    <row r="502" spans="1:14" ht="26.25" x14ac:dyDescent="0.25">
      <c r="A502" s="4" t="s">
        <v>332</v>
      </c>
      <c r="B502" s="4" t="s">
        <v>356</v>
      </c>
      <c r="C502" s="5" t="s">
        <v>311</v>
      </c>
      <c r="D502" s="153"/>
      <c r="N502" s="149">
        <f t="shared" si="26"/>
        <v>0</v>
      </c>
    </row>
    <row r="503" spans="1:14" ht="26.25" x14ac:dyDescent="0.25">
      <c r="A503" s="4" t="s">
        <v>332</v>
      </c>
      <c r="B503" s="4" t="s">
        <v>357</v>
      </c>
      <c r="C503" s="5" t="s">
        <v>311</v>
      </c>
      <c r="D503" s="153"/>
      <c r="N503" s="149">
        <f t="shared" si="26"/>
        <v>0</v>
      </c>
    </row>
    <row r="504" spans="1:14" ht="26.25" x14ac:dyDescent="0.25">
      <c r="A504" s="4" t="s">
        <v>332</v>
      </c>
      <c r="B504" s="4" t="s">
        <v>358</v>
      </c>
      <c r="C504" s="5" t="s">
        <v>73</v>
      </c>
      <c r="D504" s="153"/>
      <c r="N504" s="149">
        <f t="shared" si="26"/>
        <v>0</v>
      </c>
    </row>
    <row r="505" spans="1:14" x14ac:dyDescent="0.25">
      <c r="A505" s="4" t="s">
        <v>332</v>
      </c>
      <c r="B505" s="4" t="s">
        <v>359</v>
      </c>
      <c r="C505" s="5" t="s">
        <v>79</v>
      </c>
      <c r="D505" s="153">
        <f>16770+4095</f>
        <v>20865</v>
      </c>
      <c r="N505" s="149">
        <f t="shared" si="26"/>
        <v>0</v>
      </c>
    </row>
    <row r="506" spans="1:14" ht="26.25" x14ac:dyDescent="0.25">
      <c r="A506" s="4" t="s">
        <v>332</v>
      </c>
      <c r="B506" s="4" t="s">
        <v>360</v>
      </c>
      <c r="C506" s="5" t="s">
        <v>79</v>
      </c>
      <c r="D506" s="153"/>
      <c r="N506" s="149">
        <f t="shared" si="26"/>
        <v>0</v>
      </c>
    </row>
    <row r="507" spans="1:14" x14ac:dyDescent="0.25">
      <c r="A507" s="4" t="s">
        <v>332</v>
      </c>
      <c r="B507" s="4" t="s">
        <v>361</v>
      </c>
      <c r="C507" s="6" t="s">
        <v>79</v>
      </c>
      <c r="D507" s="153"/>
      <c r="N507" s="149">
        <f t="shared" si="26"/>
        <v>0</v>
      </c>
    </row>
    <row r="508" spans="1:14" ht="26.25" x14ac:dyDescent="0.25">
      <c r="A508" s="4" t="s">
        <v>332</v>
      </c>
      <c r="B508" s="4" t="s">
        <v>362</v>
      </c>
      <c r="C508" s="5" t="s">
        <v>86</v>
      </c>
      <c r="D508" s="153"/>
      <c r="N508" s="149">
        <f t="shared" si="26"/>
        <v>0</v>
      </c>
    </row>
    <row r="509" spans="1:14" ht="26.25" x14ac:dyDescent="0.25">
      <c r="A509" s="4" t="s">
        <v>332</v>
      </c>
      <c r="B509" s="4" t="s">
        <v>363</v>
      </c>
      <c r="C509" s="6" t="s">
        <v>86</v>
      </c>
      <c r="D509" s="153"/>
      <c r="N509" s="149">
        <f t="shared" si="26"/>
        <v>0</v>
      </c>
    </row>
    <row r="510" spans="1:14" ht="39" x14ac:dyDescent="0.25">
      <c r="A510" s="4" t="s">
        <v>332</v>
      </c>
      <c r="B510" s="4" t="s">
        <v>364</v>
      </c>
      <c r="C510" s="5" t="s">
        <v>79</v>
      </c>
      <c r="D510" s="153"/>
      <c r="N510" s="149">
        <f t="shared" si="26"/>
        <v>0</v>
      </c>
    </row>
    <row r="511" spans="1:14" ht="26.25" x14ac:dyDescent="0.25">
      <c r="A511" s="4" t="s">
        <v>332</v>
      </c>
      <c r="B511" s="4" t="s">
        <v>365</v>
      </c>
      <c r="C511" s="5" t="s">
        <v>79</v>
      </c>
      <c r="D511" s="153"/>
      <c r="N511" s="149">
        <f t="shared" si="26"/>
        <v>0</v>
      </c>
    </row>
    <row r="512" spans="1:14" ht="26.25" x14ac:dyDescent="0.25">
      <c r="A512" s="4" t="s">
        <v>332</v>
      </c>
      <c r="B512" s="4" t="s">
        <v>366</v>
      </c>
      <c r="C512" s="5" t="s">
        <v>96</v>
      </c>
      <c r="D512" s="153"/>
      <c r="N512" s="149">
        <f t="shared" si="26"/>
        <v>0</v>
      </c>
    </row>
    <row r="513" spans="1:14" ht="26.25" x14ac:dyDescent="0.25">
      <c r="A513" s="4" t="s">
        <v>332</v>
      </c>
      <c r="B513" s="4" t="s">
        <v>368</v>
      </c>
      <c r="C513" s="5" t="s">
        <v>96</v>
      </c>
      <c r="D513" s="153"/>
      <c r="E513" s="149"/>
      <c r="F513" s="149"/>
      <c r="G513" s="149"/>
      <c r="N513" s="149">
        <f t="shared" si="26"/>
        <v>0</v>
      </c>
    </row>
    <row r="514" spans="1:14" ht="51.75" x14ac:dyDescent="0.25">
      <c r="A514" s="4" t="s">
        <v>332</v>
      </c>
      <c r="B514" s="4" t="s">
        <v>370</v>
      </c>
      <c r="C514" s="5" t="s">
        <v>96</v>
      </c>
      <c r="D514" s="153"/>
      <c r="E514" s="149"/>
      <c r="F514" s="149"/>
      <c r="G514" s="149"/>
      <c r="N514" s="149">
        <f t="shared" si="26"/>
        <v>0</v>
      </c>
    </row>
    <row r="515" spans="1:14" ht="39" x14ac:dyDescent="0.25">
      <c r="A515" s="4" t="s">
        <v>332</v>
      </c>
      <c r="B515" s="4" t="s">
        <v>372</v>
      </c>
      <c r="C515" s="5" t="s">
        <v>96</v>
      </c>
      <c r="D515" s="153"/>
      <c r="E515" s="149"/>
      <c r="F515" s="149"/>
      <c r="G515" s="149"/>
      <c r="N515" s="149">
        <f t="shared" si="26"/>
        <v>0</v>
      </c>
    </row>
    <row r="516" spans="1:14" ht="26.25" x14ac:dyDescent="0.25">
      <c r="A516" s="4" t="s">
        <v>332</v>
      </c>
      <c r="B516" s="4" t="s">
        <v>374</v>
      </c>
      <c r="C516" s="5" t="s">
        <v>79</v>
      </c>
      <c r="D516" s="153"/>
      <c r="E516" s="149"/>
      <c r="F516" s="149"/>
      <c r="G516" s="149"/>
      <c r="N516" s="149">
        <f t="shared" si="26"/>
        <v>0</v>
      </c>
    </row>
    <row r="517" spans="1:14" x14ac:dyDescent="0.25">
      <c r="A517" s="4" t="s">
        <v>332</v>
      </c>
      <c r="B517" s="4" t="s">
        <v>376</v>
      </c>
      <c r="C517" s="5" t="s">
        <v>79</v>
      </c>
      <c r="D517" s="153"/>
      <c r="E517" s="149"/>
      <c r="F517" s="149"/>
      <c r="G517" s="149"/>
      <c r="N517" s="149">
        <f t="shared" si="26"/>
        <v>0</v>
      </c>
    </row>
    <row r="518" spans="1:14" ht="26.25" x14ac:dyDescent="0.25">
      <c r="A518" s="4" t="s">
        <v>332</v>
      </c>
      <c r="B518" s="4" t="s">
        <v>377</v>
      </c>
      <c r="C518" s="5" t="s">
        <v>60</v>
      </c>
      <c r="D518" s="153"/>
      <c r="E518" s="149"/>
      <c r="F518" s="149"/>
      <c r="G518" s="149"/>
      <c r="N518" s="149">
        <f t="shared" si="26"/>
        <v>0</v>
      </c>
    </row>
    <row r="519" spans="1:14" x14ac:dyDescent="0.25">
      <c r="A519" s="4" t="s">
        <v>332</v>
      </c>
      <c r="B519" s="4" t="s">
        <v>378</v>
      </c>
      <c r="C519" s="6" t="s">
        <v>379</v>
      </c>
      <c r="D519" s="153"/>
      <c r="E519" s="149"/>
      <c r="F519" s="149"/>
      <c r="G519" s="149"/>
      <c r="N519" s="149">
        <f t="shared" si="26"/>
        <v>0</v>
      </c>
    </row>
    <row r="520" spans="1:14" ht="26.25" x14ac:dyDescent="0.25">
      <c r="A520" s="4" t="s">
        <v>332</v>
      </c>
      <c r="B520" s="4" t="s">
        <v>380</v>
      </c>
      <c r="C520" s="5" t="s">
        <v>79</v>
      </c>
      <c r="D520" s="153"/>
      <c r="E520" s="149"/>
      <c r="F520" s="149"/>
      <c r="G520" s="149"/>
      <c r="N520" s="149">
        <f t="shared" si="26"/>
        <v>0</v>
      </c>
    </row>
    <row r="521" spans="1:14" ht="39" x14ac:dyDescent="0.25">
      <c r="A521" s="4" t="s">
        <v>332</v>
      </c>
      <c r="B521" s="4" t="s">
        <v>381</v>
      </c>
      <c r="C521" s="5" t="s">
        <v>104</v>
      </c>
      <c r="D521" s="153"/>
      <c r="E521" s="149"/>
      <c r="F521" s="149"/>
      <c r="G521" s="149"/>
      <c r="N521" s="149">
        <f t="shared" ref="N521:N555" si="28">G521+F521</f>
        <v>0</v>
      </c>
    </row>
    <row r="522" spans="1:14" ht="26.25" x14ac:dyDescent="0.25">
      <c r="A522" s="4" t="s">
        <v>332</v>
      </c>
      <c r="B522" s="4" t="s">
        <v>576</v>
      </c>
      <c r="C522" s="5" t="s">
        <v>104</v>
      </c>
      <c r="D522" s="153">
        <v>333886</v>
      </c>
      <c r="E522" s="149"/>
      <c r="F522" s="149">
        <v>6678</v>
      </c>
      <c r="G522" s="149">
        <v>6956</v>
      </c>
      <c r="N522" s="149">
        <f t="shared" si="28"/>
        <v>13634</v>
      </c>
    </row>
    <row r="523" spans="1:14" x14ac:dyDescent="0.25">
      <c r="A523" s="4" t="s">
        <v>332</v>
      </c>
      <c r="B523" s="4" t="s">
        <v>382</v>
      </c>
      <c r="C523" s="5" t="s">
        <v>104</v>
      </c>
      <c r="D523" s="153"/>
      <c r="E523" s="149"/>
      <c r="F523" s="149"/>
      <c r="G523" s="149"/>
      <c r="N523" s="149">
        <f t="shared" si="28"/>
        <v>0</v>
      </c>
    </row>
    <row r="524" spans="1:14" x14ac:dyDescent="0.25">
      <c r="A524" s="4" t="s">
        <v>332</v>
      </c>
      <c r="B524" s="4" t="s">
        <v>383</v>
      </c>
      <c r="C524" s="5" t="s">
        <v>101</v>
      </c>
      <c r="D524" s="153"/>
      <c r="E524" s="149"/>
      <c r="F524" s="149"/>
      <c r="G524" s="149"/>
      <c r="N524" s="149">
        <f t="shared" si="28"/>
        <v>0</v>
      </c>
    </row>
    <row r="525" spans="1:14" ht="26.25" x14ac:dyDescent="0.25">
      <c r="A525" s="4" t="s">
        <v>332</v>
      </c>
      <c r="B525" s="4" t="s">
        <v>384</v>
      </c>
      <c r="C525" s="5" t="s">
        <v>104</v>
      </c>
      <c r="D525" s="153"/>
      <c r="E525" s="149"/>
      <c r="F525" s="149"/>
      <c r="G525" s="149"/>
      <c r="N525" s="149">
        <f t="shared" si="28"/>
        <v>0</v>
      </c>
    </row>
    <row r="526" spans="1:14" x14ac:dyDescent="0.25">
      <c r="A526" s="4" t="s">
        <v>332</v>
      </c>
      <c r="B526" s="4" t="s">
        <v>385</v>
      </c>
      <c r="C526" s="5" t="s">
        <v>104</v>
      </c>
      <c r="D526" s="153"/>
      <c r="E526" s="149"/>
      <c r="F526" s="149"/>
      <c r="G526" s="149"/>
      <c r="N526" s="149">
        <f t="shared" si="28"/>
        <v>0</v>
      </c>
    </row>
    <row r="527" spans="1:14" ht="26.25" x14ac:dyDescent="0.25">
      <c r="A527" s="4" t="s">
        <v>332</v>
      </c>
      <c r="B527" s="4" t="s">
        <v>386</v>
      </c>
      <c r="C527" s="5" t="s">
        <v>104</v>
      </c>
      <c r="D527" s="153"/>
      <c r="E527" s="149"/>
      <c r="F527" s="149"/>
      <c r="G527" s="149"/>
      <c r="N527" s="149">
        <f t="shared" si="28"/>
        <v>0</v>
      </c>
    </row>
    <row r="528" spans="1:14" x14ac:dyDescent="0.25">
      <c r="A528" s="4" t="s">
        <v>332</v>
      </c>
      <c r="B528" s="4" t="s">
        <v>387</v>
      </c>
      <c r="C528" s="5" t="s">
        <v>104</v>
      </c>
      <c r="D528" s="153"/>
      <c r="E528" s="149"/>
      <c r="F528" s="149"/>
      <c r="G528" s="149"/>
      <c r="N528" s="149">
        <f t="shared" si="28"/>
        <v>0</v>
      </c>
    </row>
    <row r="529" spans="1:14" x14ac:dyDescent="0.25">
      <c r="A529" s="4" t="s">
        <v>332</v>
      </c>
      <c r="B529" s="4" t="s">
        <v>388</v>
      </c>
      <c r="C529" s="5" t="s">
        <v>104</v>
      </c>
      <c r="D529" s="153"/>
      <c r="E529" s="149"/>
      <c r="F529" s="149"/>
      <c r="G529" s="149"/>
      <c r="N529" s="149">
        <f t="shared" si="28"/>
        <v>0</v>
      </c>
    </row>
    <row r="530" spans="1:14" x14ac:dyDescent="0.25">
      <c r="A530" s="4" t="s">
        <v>332</v>
      </c>
      <c r="B530" s="4" t="s">
        <v>100</v>
      </c>
      <c r="C530" s="5" t="s">
        <v>101</v>
      </c>
      <c r="D530" s="153"/>
      <c r="E530" s="149"/>
      <c r="F530" s="149"/>
      <c r="G530" s="149"/>
      <c r="N530" s="149">
        <f t="shared" si="28"/>
        <v>0</v>
      </c>
    </row>
    <row r="531" spans="1:14" ht="26.25" x14ac:dyDescent="0.25">
      <c r="A531" s="4" t="s">
        <v>332</v>
      </c>
      <c r="B531" s="4" t="s">
        <v>389</v>
      </c>
      <c r="C531" s="5" t="s">
        <v>67</v>
      </c>
      <c r="D531" s="153">
        <v>56772</v>
      </c>
      <c r="E531" s="149"/>
      <c r="F531" s="149">
        <v>1135</v>
      </c>
      <c r="G531" s="149">
        <v>1183</v>
      </c>
      <c r="N531" s="149">
        <f t="shared" si="28"/>
        <v>2318</v>
      </c>
    </row>
    <row r="532" spans="1:14" x14ac:dyDescent="0.25">
      <c r="A532" s="4" t="s">
        <v>332</v>
      </c>
      <c r="B532" s="4" t="s">
        <v>390</v>
      </c>
      <c r="C532" s="5" t="s">
        <v>70</v>
      </c>
      <c r="D532" s="153">
        <v>80383</v>
      </c>
      <c r="E532" s="149"/>
      <c r="F532" s="149">
        <v>1608</v>
      </c>
      <c r="G532" s="149">
        <v>1675</v>
      </c>
      <c r="N532" s="149">
        <f t="shared" si="28"/>
        <v>3283</v>
      </c>
    </row>
    <row r="533" spans="1:14" x14ac:dyDescent="0.25">
      <c r="A533" s="4" t="s">
        <v>332</v>
      </c>
      <c r="B533" s="4" t="s">
        <v>391</v>
      </c>
      <c r="C533" s="5" t="s">
        <v>220</v>
      </c>
      <c r="D533" s="153"/>
      <c r="E533" s="149"/>
      <c r="F533" s="149"/>
      <c r="G533" s="149"/>
      <c r="N533" s="149">
        <f t="shared" si="28"/>
        <v>0</v>
      </c>
    </row>
    <row r="534" spans="1:14" ht="26.25" x14ac:dyDescent="0.25">
      <c r="A534" s="4" t="s">
        <v>332</v>
      </c>
      <c r="B534" s="4" t="s">
        <v>392</v>
      </c>
      <c r="C534" s="6" t="s">
        <v>60</v>
      </c>
      <c r="D534" s="153"/>
      <c r="E534" s="149"/>
      <c r="F534" s="149"/>
      <c r="G534" s="149"/>
      <c r="N534" s="149">
        <f t="shared" si="28"/>
        <v>0</v>
      </c>
    </row>
    <row r="535" spans="1:14" x14ac:dyDescent="0.25">
      <c r="A535" s="4" t="s">
        <v>332</v>
      </c>
      <c r="B535" s="4" t="s">
        <v>393</v>
      </c>
      <c r="C535" s="6" t="s">
        <v>60</v>
      </c>
      <c r="D535" s="153"/>
      <c r="E535" s="149"/>
      <c r="F535" s="149"/>
      <c r="G535" s="149"/>
      <c r="N535" s="149">
        <f t="shared" si="28"/>
        <v>0</v>
      </c>
    </row>
    <row r="536" spans="1:14" x14ac:dyDescent="0.25">
      <c r="A536" s="4" t="s">
        <v>332</v>
      </c>
      <c r="B536" s="4" t="s">
        <v>394</v>
      </c>
      <c r="C536" s="6" t="s">
        <v>60</v>
      </c>
      <c r="D536" s="153"/>
      <c r="E536" s="149"/>
      <c r="F536" s="149"/>
      <c r="G536" s="149"/>
      <c r="N536" s="149">
        <f t="shared" si="28"/>
        <v>0</v>
      </c>
    </row>
    <row r="537" spans="1:14" ht="26.25" x14ac:dyDescent="0.25">
      <c r="A537" s="4" t="s">
        <v>332</v>
      </c>
      <c r="B537" s="4" t="s">
        <v>395</v>
      </c>
      <c r="C537" s="6" t="s">
        <v>60</v>
      </c>
      <c r="D537" s="153"/>
      <c r="E537" s="149"/>
      <c r="F537" s="149"/>
      <c r="G537" s="149"/>
      <c r="N537" s="149">
        <f t="shared" si="28"/>
        <v>0</v>
      </c>
    </row>
    <row r="538" spans="1:14" ht="26.25" x14ac:dyDescent="0.25">
      <c r="A538" s="4" t="s">
        <v>332</v>
      </c>
      <c r="B538" s="4" t="s">
        <v>397</v>
      </c>
      <c r="C538" s="5" t="s">
        <v>198</v>
      </c>
      <c r="D538" s="153"/>
      <c r="E538" s="149"/>
      <c r="F538" s="149"/>
      <c r="G538" s="149"/>
      <c r="N538" s="149">
        <f t="shared" si="28"/>
        <v>0</v>
      </c>
    </row>
    <row r="539" spans="1:14" ht="26.25" x14ac:dyDescent="0.25">
      <c r="A539" s="4" t="s">
        <v>332</v>
      </c>
      <c r="B539" s="4" t="s">
        <v>398</v>
      </c>
      <c r="C539" s="5" t="s">
        <v>399</v>
      </c>
      <c r="D539" s="153"/>
      <c r="E539" s="149"/>
      <c r="F539" s="149"/>
      <c r="G539" s="149"/>
      <c r="N539" s="149">
        <f t="shared" si="28"/>
        <v>0</v>
      </c>
    </row>
    <row r="540" spans="1:14" x14ac:dyDescent="0.25">
      <c r="A540" s="4" t="s">
        <v>332</v>
      </c>
      <c r="B540" s="4" t="s">
        <v>400</v>
      </c>
      <c r="C540" s="5" t="s">
        <v>401</v>
      </c>
      <c r="D540" s="153"/>
      <c r="E540" s="149"/>
      <c r="F540" s="149"/>
      <c r="G540" s="149"/>
      <c r="N540" s="149">
        <f t="shared" si="28"/>
        <v>0</v>
      </c>
    </row>
    <row r="541" spans="1:14" ht="26.25" x14ac:dyDescent="0.25">
      <c r="A541" s="4" t="s">
        <v>332</v>
      </c>
      <c r="B541" s="4" t="s">
        <v>402</v>
      </c>
      <c r="C541" s="5" t="s">
        <v>403</v>
      </c>
      <c r="D541" s="153"/>
      <c r="E541" s="149"/>
      <c r="F541" s="149"/>
      <c r="G541" s="149"/>
      <c r="N541" s="149">
        <f t="shared" si="28"/>
        <v>0</v>
      </c>
    </row>
    <row r="542" spans="1:14" ht="26.25" x14ac:dyDescent="0.25">
      <c r="A542" s="4" t="s">
        <v>332</v>
      </c>
      <c r="B542" s="4" t="s">
        <v>404</v>
      </c>
      <c r="C542" s="5" t="s">
        <v>521</v>
      </c>
      <c r="D542" s="153"/>
      <c r="E542" s="149"/>
      <c r="F542" s="149"/>
      <c r="G542" s="149"/>
      <c r="N542" s="149">
        <f t="shared" si="28"/>
        <v>0</v>
      </c>
    </row>
    <row r="543" spans="1:14" x14ac:dyDescent="0.25">
      <c r="A543" s="4" t="s">
        <v>332</v>
      </c>
      <c r="B543" s="4" t="s">
        <v>405</v>
      </c>
      <c r="C543" s="5" t="s">
        <v>521</v>
      </c>
      <c r="D543" s="153"/>
      <c r="E543" s="149"/>
      <c r="F543" s="149"/>
      <c r="G543" s="149"/>
      <c r="N543" s="149">
        <f t="shared" si="28"/>
        <v>0</v>
      </c>
    </row>
    <row r="544" spans="1:14" x14ac:dyDescent="0.25">
      <c r="A544" s="4" t="s">
        <v>332</v>
      </c>
      <c r="B544" s="4" t="s">
        <v>406</v>
      </c>
      <c r="C544" s="5" t="s">
        <v>407</v>
      </c>
      <c r="D544" s="153"/>
      <c r="E544" s="149"/>
      <c r="F544" s="149"/>
      <c r="G544" s="149"/>
      <c r="N544" s="149">
        <f t="shared" si="28"/>
        <v>0</v>
      </c>
    </row>
    <row r="545" spans="1:14" x14ac:dyDescent="0.25">
      <c r="A545" s="4" t="s">
        <v>332</v>
      </c>
      <c r="B545" s="4" t="s">
        <v>408</v>
      </c>
      <c r="C545" s="6" t="s">
        <v>379</v>
      </c>
      <c r="D545" s="153"/>
      <c r="E545" s="149"/>
      <c r="F545" s="149"/>
      <c r="G545" s="149"/>
      <c r="H545" s="149"/>
      <c r="N545" s="149">
        <f t="shared" si="28"/>
        <v>0</v>
      </c>
    </row>
    <row r="546" spans="1:14" x14ac:dyDescent="0.25">
      <c r="A546" s="4" t="s">
        <v>332</v>
      </c>
      <c r="B546" s="4" t="s">
        <v>410</v>
      </c>
      <c r="C546" s="6" t="s">
        <v>379</v>
      </c>
      <c r="D546" s="153"/>
      <c r="E546" s="149"/>
      <c r="F546" s="149"/>
      <c r="G546" s="149"/>
      <c r="H546" s="149"/>
      <c r="N546" s="149">
        <f t="shared" si="28"/>
        <v>0</v>
      </c>
    </row>
    <row r="547" spans="1:14" x14ac:dyDescent="0.25">
      <c r="A547" s="4" t="s">
        <v>332</v>
      </c>
      <c r="B547" s="4" t="s">
        <v>411</v>
      </c>
      <c r="C547" s="6" t="s">
        <v>311</v>
      </c>
      <c r="D547" s="153"/>
      <c r="E547" s="149"/>
      <c r="F547" s="149"/>
      <c r="G547" s="149"/>
      <c r="H547" s="149"/>
      <c r="N547" s="149">
        <f t="shared" si="28"/>
        <v>0</v>
      </c>
    </row>
    <row r="548" spans="1:14" ht="26.25" x14ac:dyDescent="0.25">
      <c r="A548" s="4" t="s">
        <v>332</v>
      </c>
      <c r="B548" s="4" t="s">
        <v>412</v>
      </c>
      <c r="C548" s="5" t="s">
        <v>82</v>
      </c>
      <c r="D548" s="153"/>
      <c r="E548" s="149"/>
      <c r="F548" s="149"/>
      <c r="G548" s="149"/>
      <c r="H548" s="149"/>
      <c r="N548" s="149">
        <f t="shared" si="28"/>
        <v>0</v>
      </c>
    </row>
    <row r="549" spans="1:14" ht="39" x14ac:dyDescent="0.25">
      <c r="A549" s="4" t="s">
        <v>332</v>
      </c>
      <c r="B549" s="4" t="s">
        <v>413</v>
      </c>
      <c r="C549" s="5" t="s">
        <v>82</v>
      </c>
      <c r="D549" s="153">
        <v>618886</v>
      </c>
      <c r="E549" s="149"/>
      <c r="F549" s="149"/>
      <c r="G549" s="149"/>
      <c r="H549" s="149"/>
      <c r="N549" s="149">
        <f t="shared" si="28"/>
        <v>0</v>
      </c>
    </row>
    <row r="550" spans="1:14" x14ac:dyDescent="0.25">
      <c r="A550" s="4" t="s">
        <v>332</v>
      </c>
      <c r="B550" s="4" t="s">
        <v>414</v>
      </c>
      <c r="C550" s="5" t="s">
        <v>60</v>
      </c>
      <c r="D550" s="153"/>
      <c r="E550" s="149"/>
      <c r="F550" s="149"/>
      <c r="G550" s="149"/>
      <c r="H550" s="149"/>
      <c r="N550" s="149">
        <f t="shared" si="28"/>
        <v>0</v>
      </c>
    </row>
    <row r="551" spans="1:14" x14ac:dyDescent="0.25">
      <c r="A551" s="4" t="s">
        <v>332</v>
      </c>
      <c r="B551" s="4" t="s">
        <v>415</v>
      </c>
      <c r="C551" s="7" t="s">
        <v>60</v>
      </c>
      <c r="D551" s="153"/>
      <c r="E551" s="149"/>
      <c r="F551" s="149"/>
      <c r="G551" s="149"/>
      <c r="H551" s="149"/>
      <c r="N551" s="149">
        <f t="shared" si="28"/>
        <v>0</v>
      </c>
    </row>
    <row r="552" spans="1:14" x14ac:dyDescent="0.25">
      <c r="A552" s="4" t="s">
        <v>332</v>
      </c>
      <c r="B552" s="4" t="s">
        <v>105</v>
      </c>
      <c r="C552" s="6"/>
      <c r="D552" s="153">
        <v>38997</v>
      </c>
      <c r="E552" s="149"/>
      <c r="F552" s="149"/>
      <c r="G552" s="149"/>
      <c r="H552" s="149"/>
      <c r="N552" s="149">
        <f t="shared" si="28"/>
        <v>0</v>
      </c>
    </row>
    <row r="553" spans="1:14" ht="26.25" x14ac:dyDescent="0.25">
      <c r="A553" s="4" t="s">
        <v>332</v>
      </c>
      <c r="B553" s="4" t="s">
        <v>416</v>
      </c>
      <c r="C553" s="6"/>
      <c r="D553" s="153"/>
      <c r="E553" s="149"/>
      <c r="F553" s="149"/>
      <c r="G553" s="149"/>
      <c r="H553" s="149"/>
      <c r="N553" s="149">
        <f t="shared" si="28"/>
        <v>0</v>
      </c>
    </row>
    <row r="554" spans="1:14" x14ac:dyDescent="0.25">
      <c r="A554" s="4" t="s">
        <v>332</v>
      </c>
      <c r="B554" s="4" t="s">
        <v>106</v>
      </c>
      <c r="C554" s="5"/>
      <c r="D554" s="153">
        <v>40622</v>
      </c>
      <c r="E554" s="149"/>
      <c r="F554" s="149"/>
      <c r="G554" s="149"/>
      <c r="H554" s="149"/>
      <c r="N554" s="149">
        <f t="shared" si="28"/>
        <v>0</v>
      </c>
    </row>
    <row r="555" spans="1:14" ht="24.95" customHeight="1" collapsed="1" x14ac:dyDescent="0.25">
      <c r="A555" s="16" t="s">
        <v>417</v>
      </c>
      <c r="B555" s="16" t="s">
        <v>108</v>
      </c>
      <c r="C555" s="16"/>
      <c r="D555" s="16">
        <f>SUM(D481:D554)</f>
        <v>2669205</v>
      </c>
      <c r="E555" s="149"/>
      <c r="F555" s="36">
        <f>SUM(F481:F554)</f>
        <v>38997</v>
      </c>
      <c r="G555" s="36">
        <f>SUM(G481:G554)</f>
        <v>40622</v>
      </c>
      <c r="H555" s="149"/>
      <c r="N555" s="149">
        <f t="shared" si="28"/>
        <v>79619</v>
      </c>
    </row>
    <row r="556" spans="1:14" s="15" customFormat="1" ht="30" customHeight="1" x14ac:dyDescent="0.25">
      <c r="A556" s="41"/>
      <c r="B556" s="41" t="s">
        <v>418</v>
      </c>
      <c r="C556" s="41"/>
      <c r="D556" s="41">
        <f>D416+D480+D555</f>
        <v>14872410</v>
      </c>
      <c r="F556" s="15">
        <f>F416+F480+F555</f>
        <v>215177</v>
      </c>
      <c r="G556" s="15">
        <f>G416+G480+G555</f>
        <v>188060</v>
      </c>
      <c r="H556" s="15">
        <f>SUM(F556:G556)</f>
        <v>403237</v>
      </c>
    </row>
    <row r="558" spans="1:14" x14ac:dyDescent="0.25">
      <c r="F558" s="1">
        <f>SUBTOTAL(9,F436:F448)</f>
        <v>10293</v>
      </c>
      <c r="G558" s="149">
        <f>SUBTOTAL(9,G436:G448)</f>
        <v>4547</v>
      </c>
    </row>
  </sheetData>
  <autoFilter ref="A6:G556" xr:uid="{00000000-0009-0000-0000-000005000000}"/>
  <pageMargins left="0.7" right="0.7" top="0.75" bottom="0.75" header="0.3" footer="0.3"/>
  <pageSetup paperSize="9" scale="7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1"/>
  <sheetViews>
    <sheetView zoomScaleNormal="100" workbookViewId="0">
      <pane xSplit="2" ySplit="9" topLeftCell="C29" activePane="bottomRight" state="frozen"/>
      <selection pane="topRight" activeCell="C1" sqref="C1"/>
      <selection pane="bottomLeft" activeCell="A8" sqref="A8"/>
      <selection pane="bottomRight" activeCell="K29" sqref="K29"/>
    </sheetView>
  </sheetViews>
  <sheetFormatPr defaultRowHeight="15" x14ac:dyDescent="0.25"/>
  <cols>
    <col min="1" max="1" width="6.5703125" style="22" bestFit="1" customWidth="1"/>
    <col min="2" max="2" width="23.42578125" style="22" customWidth="1"/>
    <col min="3" max="3" width="12" style="22" bestFit="1" customWidth="1"/>
    <col min="4" max="4" width="9.140625" style="22"/>
    <col min="5" max="5" width="7.5703125" style="22" bestFit="1" customWidth="1"/>
    <col min="6" max="6" width="7.85546875" style="22" customWidth="1"/>
    <col min="7" max="7" width="7.5703125" style="22" bestFit="1" customWidth="1"/>
    <col min="8" max="8" width="9.140625" style="22" bestFit="1" customWidth="1"/>
    <col min="9" max="11" width="8.140625" style="22" bestFit="1" customWidth="1"/>
    <col min="12" max="12" width="9.28515625" style="22" customWidth="1"/>
    <col min="13" max="14" width="8.140625" style="22" bestFit="1" customWidth="1"/>
    <col min="15" max="15" width="7.5703125" style="22" bestFit="1" customWidth="1"/>
    <col min="16" max="16" width="9.28515625" style="22" customWidth="1"/>
    <col min="17" max="17" width="7.5703125" style="22" bestFit="1" customWidth="1"/>
    <col min="18" max="18" width="8.85546875" style="22" customWidth="1"/>
    <col min="19" max="19" width="10.140625" style="22" bestFit="1" customWidth="1"/>
    <col min="20" max="20" width="9.140625" style="22"/>
    <col min="21" max="22" width="9.140625" style="22" customWidth="1"/>
    <col min="23" max="16384" width="9.140625" style="22"/>
  </cols>
  <sheetData>
    <row r="1" spans="1:19" x14ac:dyDescent="0.25">
      <c r="O1" s="21"/>
      <c r="P1" s="21"/>
      <c r="Q1" s="185" t="s">
        <v>419</v>
      </c>
      <c r="R1" s="185"/>
      <c r="S1" s="185"/>
    </row>
    <row r="2" spans="1:19" x14ac:dyDescent="0.25">
      <c r="O2" s="185" t="s">
        <v>1</v>
      </c>
      <c r="P2" s="185"/>
      <c r="Q2" s="185"/>
      <c r="R2" s="185"/>
      <c r="S2" s="185"/>
    </row>
    <row r="3" spans="1:19" x14ac:dyDescent="0.25">
      <c r="O3" s="21"/>
      <c r="P3" s="185" t="s">
        <v>2</v>
      </c>
      <c r="Q3" s="185"/>
      <c r="R3" s="185"/>
      <c r="S3" s="185"/>
    </row>
    <row r="4" spans="1:19" x14ac:dyDescent="0.25">
      <c r="O4" s="21"/>
      <c r="P4" s="185" t="s">
        <v>4</v>
      </c>
      <c r="Q4" s="185"/>
      <c r="R4" s="185"/>
      <c r="S4" s="185"/>
    </row>
    <row r="5" spans="1:19" x14ac:dyDescent="0.25">
      <c r="F5" s="22" t="s">
        <v>420</v>
      </c>
      <c r="S5" s="40"/>
    </row>
    <row r="6" spans="1:19" x14ac:dyDescent="0.25">
      <c r="C6" s="63"/>
      <c r="D6" s="63"/>
      <c r="E6" s="63"/>
      <c r="F6" s="63" t="s">
        <v>622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x14ac:dyDescent="0.25">
      <c r="S7" s="23" t="s">
        <v>422</v>
      </c>
    </row>
    <row r="8" spans="1:19" ht="84" x14ac:dyDescent="0.25">
      <c r="A8" s="145"/>
      <c r="B8" s="24" t="s">
        <v>423</v>
      </c>
      <c r="C8" s="9" t="s">
        <v>424</v>
      </c>
      <c r="D8" s="9" t="s">
        <v>425</v>
      </c>
      <c r="E8" s="9" t="s">
        <v>426</v>
      </c>
      <c r="F8" s="9" t="s">
        <v>427</v>
      </c>
      <c r="G8" s="9" t="s">
        <v>428</v>
      </c>
      <c r="H8" s="9" t="s">
        <v>429</v>
      </c>
      <c r="I8" s="9" t="s">
        <v>430</v>
      </c>
      <c r="J8" s="9" t="s">
        <v>431</v>
      </c>
      <c r="K8" s="9" t="s">
        <v>432</v>
      </c>
      <c r="L8" s="9" t="s">
        <v>433</v>
      </c>
      <c r="M8" s="9" t="s">
        <v>434</v>
      </c>
      <c r="N8" s="9" t="s">
        <v>435</v>
      </c>
      <c r="O8" s="9" t="s">
        <v>436</v>
      </c>
      <c r="P8" s="9" t="s">
        <v>437</v>
      </c>
      <c r="Q8" s="9" t="s">
        <v>438</v>
      </c>
      <c r="R8" s="9" t="s">
        <v>439</v>
      </c>
      <c r="S8" s="9" t="s">
        <v>108</v>
      </c>
    </row>
    <row r="9" spans="1:19" x14ac:dyDescent="0.25">
      <c r="A9" s="25">
        <v>1</v>
      </c>
      <c r="B9" s="26">
        <v>2</v>
      </c>
      <c r="C9" s="26">
        <v>4</v>
      </c>
      <c r="D9" s="26">
        <v>5</v>
      </c>
      <c r="E9" s="26">
        <v>6</v>
      </c>
      <c r="F9" s="26">
        <v>7</v>
      </c>
      <c r="G9" s="26">
        <v>8</v>
      </c>
      <c r="H9" s="26">
        <v>9</v>
      </c>
      <c r="I9" s="26">
        <v>10</v>
      </c>
      <c r="J9" s="26">
        <v>11</v>
      </c>
      <c r="K9" s="26">
        <v>12</v>
      </c>
      <c r="L9" s="26">
        <v>13</v>
      </c>
      <c r="M9" s="26">
        <v>14</v>
      </c>
      <c r="N9" s="26">
        <v>15</v>
      </c>
      <c r="O9" s="26">
        <v>16</v>
      </c>
      <c r="P9" s="26">
        <v>17</v>
      </c>
      <c r="Q9" s="26">
        <v>18</v>
      </c>
      <c r="R9" s="26">
        <v>19</v>
      </c>
      <c r="S9" s="26">
        <v>20</v>
      </c>
    </row>
    <row r="10" spans="1:19" ht="30" x14ac:dyDescent="0.25">
      <c r="A10" s="146" t="s">
        <v>198</v>
      </c>
      <c r="B10" s="27" t="s">
        <v>440</v>
      </c>
      <c r="C10" s="145">
        <v>1235623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0">
        <f t="shared" ref="S10:S31" si="0">SUM(C10:R10)</f>
        <v>1235623</v>
      </c>
    </row>
    <row r="11" spans="1:19" x14ac:dyDescent="0.25">
      <c r="A11" s="146" t="s">
        <v>441</v>
      </c>
      <c r="B11" s="27" t="s">
        <v>442</v>
      </c>
      <c r="C11" s="145">
        <v>18000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10">
        <f t="shared" si="0"/>
        <v>18000</v>
      </c>
    </row>
    <row r="12" spans="1:19" x14ac:dyDescent="0.25">
      <c r="A12" s="146" t="s">
        <v>156</v>
      </c>
      <c r="B12" s="27" t="s">
        <v>443</v>
      </c>
      <c r="C12" s="145">
        <v>1100</v>
      </c>
      <c r="D12" s="28"/>
      <c r="E12" s="28"/>
      <c r="F12" s="28"/>
      <c r="G12" s="28"/>
      <c r="H12" s="28"/>
      <c r="I12" s="28">
        <v>340</v>
      </c>
      <c r="J12" s="28"/>
      <c r="K12" s="28">
        <v>84</v>
      </c>
      <c r="L12" s="28"/>
      <c r="M12" s="28">
        <v>51</v>
      </c>
      <c r="N12" s="28">
        <v>536</v>
      </c>
      <c r="O12" s="28"/>
      <c r="P12" s="28"/>
      <c r="Q12" s="28"/>
      <c r="R12" s="28"/>
      <c r="S12" s="10">
        <f t="shared" si="0"/>
        <v>2111</v>
      </c>
    </row>
    <row r="13" spans="1:19" x14ac:dyDescent="0.25">
      <c r="A13" s="146" t="s">
        <v>557</v>
      </c>
      <c r="B13" s="27" t="s">
        <v>623</v>
      </c>
      <c r="C13" s="145">
        <v>18000</v>
      </c>
      <c r="D13" s="28"/>
      <c r="E13" s="28">
        <v>900</v>
      </c>
      <c r="F13" s="28">
        <v>800</v>
      </c>
      <c r="G13" s="28">
        <v>1780</v>
      </c>
      <c r="H13" s="28">
        <v>794</v>
      </c>
      <c r="I13" s="28">
        <v>925</v>
      </c>
      <c r="J13" s="28">
        <v>200</v>
      </c>
      <c r="K13" s="28">
        <v>80</v>
      </c>
      <c r="L13" s="28">
        <v>670</v>
      </c>
      <c r="M13" s="28">
        <v>400</v>
      </c>
      <c r="N13" s="28">
        <v>380</v>
      </c>
      <c r="O13" s="28">
        <v>560</v>
      </c>
      <c r="P13" s="28"/>
      <c r="Q13" s="28">
        <v>700</v>
      </c>
      <c r="R13" s="28">
        <v>200</v>
      </c>
      <c r="S13" s="10">
        <f t="shared" si="0"/>
        <v>26389</v>
      </c>
    </row>
    <row r="14" spans="1:19" x14ac:dyDescent="0.25">
      <c r="A14" s="146" t="s">
        <v>564</v>
      </c>
      <c r="B14" s="27" t="s">
        <v>448</v>
      </c>
      <c r="C14" s="145">
        <v>3000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10">
        <f t="shared" si="0"/>
        <v>3000</v>
      </c>
    </row>
    <row r="15" spans="1:19" ht="30" x14ac:dyDescent="0.25">
      <c r="A15" s="146" t="s">
        <v>624</v>
      </c>
      <c r="B15" s="27" t="s">
        <v>450</v>
      </c>
      <c r="C15" s="145">
        <v>220</v>
      </c>
      <c r="D15" s="28"/>
      <c r="E15" s="28">
        <v>5936</v>
      </c>
      <c r="F15" s="28"/>
      <c r="G15" s="28"/>
      <c r="H15" s="28"/>
      <c r="I15" s="28"/>
      <c r="J15" s="28"/>
      <c r="K15" s="28">
        <v>200</v>
      </c>
      <c r="L15" s="28">
        <v>80</v>
      </c>
      <c r="M15" s="28">
        <v>92</v>
      </c>
      <c r="N15" s="28"/>
      <c r="O15" s="28">
        <v>3300</v>
      </c>
      <c r="P15" s="28">
        <v>1800</v>
      </c>
      <c r="Q15" s="28"/>
      <c r="R15" s="28">
        <v>1322</v>
      </c>
      <c r="S15" s="10">
        <f t="shared" si="0"/>
        <v>12950</v>
      </c>
    </row>
    <row r="16" spans="1:19" ht="30" x14ac:dyDescent="0.25">
      <c r="A16" s="146" t="s">
        <v>625</v>
      </c>
      <c r="B16" s="27" t="s">
        <v>452</v>
      </c>
      <c r="C16" s="145"/>
      <c r="D16" s="28">
        <f>412000+35000</f>
        <v>447000</v>
      </c>
      <c r="E16" s="28">
        <v>16425</v>
      </c>
      <c r="F16" s="28">
        <v>157140</v>
      </c>
      <c r="G16" s="28">
        <v>13920</v>
      </c>
      <c r="H16" s="28">
        <v>132134</v>
      </c>
      <c r="I16" s="28">
        <v>26025</v>
      </c>
      <c r="J16" s="28">
        <v>8000</v>
      </c>
      <c r="K16" s="28">
        <v>19007</v>
      </c>
      <c r="L16" s="28">
        <v>118100</v>
      </c>
      <c r="M16" s="28">
        <v>240107</v>
      </c>
      <c r="N16" s="28">
        <v>6970</v>
      </c>
      <c r="O16" s="28">
        <v>22500</v>
      </c>
      <c r="P16" s="28">
        <v>23609</v>
      </c>
      <c r="Q16" s="28">
        <v>14000</v>
      </c>
      <c r="R16" s="28">
        <v>8456</v>
      </c>
      <c r="S16" s="10">
        <f t="shared" si="0"/>
        <v>1253393</v>
      </c>
    </row>
    <row r="17" spans="1:19" ht="30" x14ac:dyDescent="0.25">
      <c r="A17" s="146" t="s">
        <v>453</v>
      </c>
      <c r="B17" s="27" t="s">
        <v>454</v>
      </c>
      <c r="C17" s="145">
        <v>11054274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10">
        <f t="shared" si="0"/>
        <v>11054274</v>
      </c>
    </row>
    <row r="18" spans="1:19" ht="45" x14ac:dyDescent="0.25">
      <c r="A18" s="29" t="s">
        <v>455</v>
      </c>
      <c r="B18" s="30" t="s">
        <v>456</v>
      </c>
      <c r="C18" s="145">
        <v>322111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10">
        <f t="shared" si="0"/>
        <v>322111</v>
      </c>
    </row>
    <row r="19" spans="1:19" ht="45" x14ac:dyDescent="0.25">
      <c r="A19" s="29" t="s">
        <v>455</v>
      </c>
      <c r="B19" s="30" t="s">
        <v>457</v>
      </c>
      <c r="C19" s="145">
        <v>51054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0">
        <f t="shared" si="0"/>
        <v>51054</v>
      </c>
    </row>
    <row r="20" spans="1:19" ht="45" x14ac:dyDescent="0.25">
      <c r="A20" s="29" t="s">
        <v>455</v>
      </c>
      <c r="B20" s="30" t="s">
        <v>458</v>
      </c>
      <c r="C20" s="145">
        <v>262918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10">
        <f t="shared" si="0"/>
        <v>262918</v>
      </c>
    </row>
    <row r="21" spans="1:19" ht="60" x14ac:dyDescent="0.25">
      <c r="A21" s="146" t="s">
        <v>455</v>
      </c>
      <c r="B21" s="30" t="s">
        <v>459</v>
      </c>
      <c r="C21" s="145">
        <v>522355</v>
      </c>
      <c r="D21" s="28"/>
      <c r="E21" s="28"/>
      <c r="F21" s="28"/>
      <c r="G21" s="28"/>
      <c r="H21" s="145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0">
        <f t="shared" si="0"/>
        <v>522355</v>
      </c>
    </row>
    <row r="22" spans="1:19" ht="45" x14ac:dyDescent="0.25">
      <c r="A22" s="31" t="s">
        <v>455</v>
      </c>
      <c r="B22" s="30" t="s">
        <v>460</v>
      </c>
      <c r="C22" s="145">
        <v>28981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0">
        <f t="shared" si="0"/>
        <v>28981</v>
      </c>
    </row>
    <row r="23" spans="1:19" ht="45" x14ac:dyDescent="0.25">
      <c r="A23" s="31" t="s">
        <v>455</v>
      </c>
      <c r="B23" s="32" t="s">
        <v>461</v>
      </c>
      <c r="C23" s="150">
        <v>117000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0">
        <f t="shared" si="0"/>
        <v>117000</v>
      </c>
    </row>
    <row r="24" spans="1:19" ht="30" x14ac:dyDescent="0.25">
      <c r="A24" s="33" t="s">
        <v>455</v>
      </c>
      <c r="B24" s="30" t="s">
        <v>462</v>
      </c>
      <c r="C24" s="145">
        <v>48934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10">
        <f t="shared" si="0"/>
        <v>48934</v>
      </c>
    </row>
    <row r="25" spans="1:19" x14ac:dyDescent="0.25">
      <c r="A25" s="33" t="s">
        <v>455</v>
      </c>
      <c r="B25" s="30" t="s">
        <v>463</v>
      </c>
      <c r="C25" s="145">
        <v>156000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10">
        <f t="shared" si="0"/>
        <v>156000</v>
      </c>
    </row>
    <row r="26" spans="1:19" x14ac:dyDescent="0.25">
      <c r="A26" s="33" t="s">
        <v>455</v>
      </c>
      <c r="B26" s="30" t="s">
        <v>464</v>
      </c>
      <c r="C26" s="145">
        <v>1062041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10">
        <f t="shared" si="0"/>
        <v>1062041</v>
      </c>
    </row>
    <row r="27" spans="1:19" ht="30" x14ac:dyDescent="0.25">
      <c r="A27" s="33" t="s">
        <v>455</v>
      </c>
      <c r="B27" s="30" t="s">
        <v>465</v>
      </c>
      <c r="C27" s="145">
        <v>51869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10">
        <f t="shared" si="0"/>
        <v>51869</v>
      </c>
    </row>
    <row r="28" spans="1:19" x14ac:dyDescent="0.25">
      <c r="A28" s="146" t="s">
        <v>466</v>
      </c>
      <c r="B28" s="30" t="s">
        <v>467</v>
      </c>
      <c r="C28" s="145">
        <v>6740370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0">
        <f t="shared" si="0"/>
        <v>6740370</v>
      </c>
    </row>
    <row r="29" spans="1:19" ht="90" x14ac:dyDescent="0.25">
      <c r="A29" s="146" t="s">
        <v>455</v>
      </c>
      <c r="B29" s="30" t="s">
        <v>468</v>
      </c>
      <c r="C29" s="145">
        <v>2199728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10">
        <f t="shared" si="0"/>
        <v>2199728</v>
      </c>
    </row>
    <row r="30" spans="1:19" ht="90" x14ac:dyDescent="0.25">
      <c r="A30" s="146" t="s">
        <v>455</v>
      </c>
      <c r="B30" s="30" t="s">
        <v>469</v>
      </c>
      <c r="C30" s="145">
        <v>369296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10">
        <f t="shared" si="0"/>
        <v>369296</v>
      </c>
    </row>
    <row r="31" spans="1:19" ht="75" x14ac:dyDescent="0.25">
      <c r="A31" s="146" t="s">
        <v>455</v>
      </c>
      <c r="B31" s="30" t="s">
        <v>470</v>
      </c>
      <c r="C31" s="145">
        <v>122628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10">
        <f t="shared" si="0"/>
        <v>122628</v>
      </c>
    </row>
    <row r="32" spans="1:19" ht="45" x14ac:dyDescent="0.25">
      <c r="A32" s="31" t="s">
        <v>474</v>
      </c>
      <c r="B32" s="27" t="s">
        <v>475</v>
      </c>
      <c r="C32" s="145">
        <f>400000+7000</f>
        <v>407000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0">
        <f>SUM(C32:R32)</f>
        <v>407000</v>
      </c>
    </row>
    <row r="33" spans="1:20" ht="34.5" customHeight="1" x14ac:dyDescent="0.25">
      <c r="A33" s="28" t="s">
        <v>476</v>
      </c>
      <c r="B33" s="145" t="s">
        <v>477</v>
      </c>
      <c r="C33" s="28">
        <f>-SUM(D33:R33)</f>
        <v>-16355550</v>
      </c>
      <c r="D33" s="28">
        <f>D36-SUM(D11:D16)</f>
        <v>6544484</v>
      </c>
      <c r="E33" s="28">
        <f t="shared" ref="E33:R33" si="1">E36-SUM(E11:E16)</f>
        <v>670965</v>
      </c>
      <c r="F33" s="28">
        <f t="shared" si="1"/>
        <v>779795</v>
      </c>
      <c r="G33" s="28">
        <f t="shared" si="1"/>
        <v>750094</v>
      </c>
      <c r="H33" s="28">
        <f t="shared" si="1"/>
        <v>1197370</v>
      </c>
      <c r="I33" s="28">
        <f t="shared" si="1"/>
        <v>897910</v>
      </c>
      <c r="J33" s="28">
        <f t="shared" si="1"/>
        <v>364569</v>
      </c>
      <c r="K33" s="28">
        <f t="shared" si="1"/>
        <v>828096</v>
      </c>
      <c r="L33" s="28">
        <f t="shared" si="1"/>
        <v>1054506</v>
      </c>
      <c r="M33" s="28">
        <f t="shared" si="1"/>
        <v>485678</v>
      </c>
      <c r="N33" s="28">
        <f t="shared" si="1"/>
        <v>354949</v>
      </c>
      <c r="O33" s="28">
        <f t="shared" si="1"/>
        <v>598169</v>
      </c>
      <c r="P33" s="28">
        <f t="shared" si="1"/>
        <v>975920</v>
      </c>
      <c r="Q33" s="28">
        <f t="shared" si="1"/>
        <v>402671</v>
      </c>
      <c r="R33" s="28">
        <f t="shared" si="1"/>
        <v>450374</v>
      </c>
      <c r="S33" s="10">
        <f>SUM(C33:R33)</f>
        <v>0</v>
      </c>
    </row>
    <row r="34" spans="1:20" s="36" customFormat="1" x14ac:dyDescent="0.25">
      <c r="A34" s="29"/>
      <c r="B34" s="34" t="s">
        <v>626</v>
      </c>
      <c r="C34" s="35">
        <f>SUM(C10:C33)</f>
        <v>8436952</v>
      </c>
      <c r="D34" s="35">
        <f t="shared" ref="D34:S34" si="2">SUM(D10:D33)</f>
        <v>6991484</v>
      </c>
      <c r="E34" s="35">
        <f t="shared" si="2"/>
        <v>694226</v>
      </c>
      <c r="F34" s="35">
        <f t="shared" si="2"/>
        <v>937735</v>
      </c>
      <c r="G34" s="35">
        <f t="shared" si="2"/>
        <v>765794</v>
      </c>
      <c r="H34" s="35">
        <f t="shared" si="2"/>
        <v>1330298</v>
      </c>
      <c r="I34" s="35">
        <f t="shared" si="2"/>
        <v>925200</v>
      </c>
      <c r="J34" s="35">
        <f t="shared" si="2"/>
        <v>372769</v>
      </c>
      <c r="K34" s="35">
        <f t="shared" si="2"/>
        <v>847467</v>
      </c>
      <c r="L34" s="35">
        <f t="shared" si="2"/>
        <v>1173356</v>
      </c>
      <c r="M34" s="35">
        <f t="shared" si="2"/>
        <v>726328</v>
      </c>
      <c r="N34" s="35">
        <f t="shared" si="2"/>
        <v>362835</v>
      </c>
      <c r="O34" s="35">
        <f t="shared" si="2"/>
        <v>624529</v>
      </c>
      <c r="P34" s="35">
        <f t="shared" si="2"/>
        <v>1001329</v>
      </c>
      <c r="Q34" s="35">
        <f t="shared" si="2"/>
        <v>417371</v>
      </c>
      <c r="R34" s="35">
        <f t="shared" si="2"/>
        <v>460352</v>
      </c>
      <c r="S34" s="35">
        <f t="shared" si="2"/>
        <v>26068025</v>
      </c>
    </row>
    <row r="36" spans="1:20" hidden="1" x14ac:dyDescent="0.25">
      <c r="C36" s="22">
        <f>'Izdevumi (Pielikums Nr.1)'!AP561</f>
        <v>8436952</v>
      </c>
      <c r="D36" s="22">
        <f>'Izdevumi (Pielikums Nr.1)'!AP484</f>
        <v>6991484</v>
      </c>
      <c r="E36" s="22">
        <f>'Izdevumi (Pielikums Nr.1)'!AP37</f>
        <v>694226</v>
      </c>
      <c r="F36" s="22">
        <f>'Izdevumi (Pielikums Nr.1)'!AP70</f>
        <v>937735</v>
      </c>
      <c r="G36" s="22">
        <f>'Izdevumi (Pielikums Nr.1)'!AP96</f>
        <v>765794</v>
      </c>
      <c r="H36" s="22">
        <f>'Izdevumi (Pielikums Nr.1)'!AP128</f>
        <v>1330298</v>
      </c>
      <c r="I36" s="22">
        <f>'Izdevumi (Pielikums Nr.1)'!AP166</f>
        <v>925200</v>
      </c>
      <c r="J36" s="22">
        <f>'Izdevumi (Pielikums Nr.1)'!AP193</f>
        <v>372769</v>
      </c>
      <c r="K36" s="22">
        <f>'Izdevumi (Pielikums Nr.1)'!AP261</f>
        <v>847467</v>
      </c>
      <c r="L36" s="22">
        <f>'Izdevumi (Pielikums Nr.1)'!AP229</f>
        <v>1173356</v>
      </c>
      <c r="M36" s="22">
        <f>'Izdevumi (Pielikums Nr.1)'!AP287</f>
        <v>726328</v>
      </c>
      <c r="N36" s="22">
        <f>'Izdevumi (Pielikums Nr.1)'!AP306</f>
        <v>362835</v>
      </c>
      <c r="O36" s="22">
        <f>'Izdevumi (Pielikums Nr.1)'!AP337</f>
        <v>624529</v>
      </c>
      <c r="P36" s="22">
        <f>'Izdevumi (Pielikums Nr.1)'!AP367</f>
        <v>1001329</v>
      </c>
      <c r="Q36" s="22">
        <f>'Izdevumi (Pielikums Nr.1)'!AP390</f>
        <v>417371</v>
      </c>
      <c r="R36" s="22">
        <f>'Izdevumi (Pielikums Nr.1)'!AP418</f>
        <v>460352</v>
      </c>
      <c r="S36" s="22">
        <f>'Izdevumi (Pielikums Nr.1)'!AP562</f>
        <v>26068025</v>
      </c>
      <c r="T36" s="22" t="s">
        <v>627</v>
      </c>
    </row>
    <row r="37" spans="1:20" hidden="1" x14ac:dyDescent="0.25">
      <c r="B37" s="38"/>
      <c r="S37" s="37">
        <f>S34-S36</f>
        <v>0</v>
      </c>
      <c r="T37" s="22" t="s">
        <v>486</v>
      </c>
    </row>
    <row r="39" spans="1:20" x14ac:dyDescent="0.25">
      <c r="R39" s="39"/>
      <c r="S39" s="37"/>
    </row>
    <row r="41" spans="1:20" x14ac:dyDescent="0.25"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</sheetData>
  <mergeCells count="4">
    <mergeCell ref="Q1:S1"/>
    <mergeCell ref="O2:S2"/>
    <mergeCell ref="P3:S3"/>
    <mergeCell ref="P4:S4"/>
  </mergeCells>
  <pageMargins left="0.7" right="0.7" top="0.75" bottom="0.75" header="0.3" footer="0.3"/>
  <pageSetup paperSize="9" scale="4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3</vt:i4>
      </vt:variant>
    </vt:vector>
  </HeadingPairs>
  <TitlesOfParts>
    <vt:vector size="10" baseType="lpstr">
      <vt:lpstr>Izdevumi (Pielikums Nr.1)</vt:lpstr>
      <vt:lpstr>Ieņēmumi (Pielikums Nr.2)</vt:lpstr>
      <vt:lpstr>Kopsavilkums (Pielikums Nr.3)</vt:lpstr>
      <vt:lpstr>Izdevumi bez MD un ceļu f.</vt:lpstr>
      <vt:lpstr>analīzei</vt:lpstr>
      <vt:lpstr>algu apr.</vt:lpstr>
      <vt:lpstr>Ieņēmumi 2020.</vt:lpstr>
      <vt:lpstr>'Ieņēmumi (Pielikums Nr.2)'!Drukas_apgabals</vt:lpstr>
      <vt:lpstr>'Ieņēmumi 2020.'!Drukas_apgabals</vt:lpstr>
      <vt:lpstr>'Kopsavilkums (Pielikums Nr.3)'!Drukas_apgabals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AijaK</cp:lastModifiedBy>
  <cp:revision/>
  <cp:lastPrinted>2021-02-02T13:41:44Z</cp:lastPrinted>
  <dcterms:created xsi:type="dcterms:W3CDTF">2018-09-17T07:03:47Z</dcterms:created>
  <dcterms:modified xsi:type="dcterms:W3CDTF">2021-02-03T06:46:09Z</dcterms:modified>
  <cp:category/>
  <cp:contentStatus/>
</cp:coreProperties>
</file>